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K41"/>
  <c r="K53" s="1"/>
  <c r="Q5" i="48"/>
  <c r="N25"/>
  <c r="N31" s="1"/>
  <c r="N14"/>
  <c r="E25"/>
  <c r="E31" s="1"/>
  <c r="E14"/>
  <c r="K13" i="14"/>
  <c r="K15" s="1"/>
  <c r="K23" s="1"/>
  <c r="H55"/>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<sst xmlns="http://schemas.openxmlformats.org/spreadsheetml/2006/main" count="1924" uniqueCount="818">
  <si>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</si>
  <si>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</si>
  <si>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</si>
  <si>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</si>
  <si>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</si>
  <si>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</si>
  <si>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</si>
  <si>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</si>
  <si>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</si>
  <si>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</si>
  <si>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</si>
  <si>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</si>
  <si>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</si>
  <si>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</si>
  <si>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</si>
  <si>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</si>
  <si>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</si>
  <si>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</si>
  <si>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</si>
  <si>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</si>
  <si>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</si>
  <si>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</si>
  <si>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</si>
  <si>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</si>
  <si>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</si>
  <si>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</si>
  <si>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</si>
  <si>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</si>
  <si>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</si>
  <si>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</si>
  <si>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</si>
  <si>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</si>
  <si>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</si>
  <si>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</si>
  <si>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</si>
  <si>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</si>
  <si>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</si>
  <si>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</si>
  <si>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</si>
  <si>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</si>
  <si>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</si>
  <si>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</si>
  <si>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</si>
  <si>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</si>
  <si>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</si>
  <si>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</si>
  <si>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</si>
  <si>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</si>
  <si>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</si>
  <si>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</si>
  <si>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</si>
  <si>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</si>
  <si>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</si>
  <si>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</si>
  <si>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</si>
  <si>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</si>
  <si>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</si>
  <si>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</si>
  <si>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</si>
  <si>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</si>
  <si>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</si>
  <si>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</si>
  <si>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</si>
  <si>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</si>
  <si>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</si>
  <si>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</si>
  <si>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</si>
  <si>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</si>
  <si>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</si>
  <si>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</si>
  <si>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</si>
  <si>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</si>
  <si>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</si>
  <si>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</si>
  <si>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</si>
  <si>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</si>
  <si>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</si>
  <si>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</si>
  <si>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</si>
  <si>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</si>
  <si>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</si>
  <si>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</si>
  <si>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</si>
  <si>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</si>
  <si>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</si>
  <si>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</si>
  <si>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</si>
  <si>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</si>
  <si>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</si>
  <si>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</si>
  <si>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</si>
  <si>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</si>
  <si>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</si>
  <si>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</si>
  <si>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</si>
  <si>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</si>
  <si>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</si>
  <si>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</si>
  <si>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</si>
  <si>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</si>
  <si>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</si>
  <si>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</si>
  <si>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</si>
  <si>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</si>
  <si>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</si>
  <si>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</si>
  <si>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</si>
  <si>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</si>
  <si>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</si>
  <si>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</si>
  <si>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</si>
  <si>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</si>
  <si>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</si>
  <si>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</si>
  <si>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</si>
  <si>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</si>
  <si>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</si>
  <si>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</si>
  <si>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</si>
  <si>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</si>
  <si>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</si>
  <si>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</si>
  <si>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</si>
  <si>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</si>
  <si>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</si>
  <si>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</si>
  <si>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</si>
  <si>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</si>
  <si>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</si>
  <si>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</si>
  <si>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</si>
  <si>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</si>
  <si>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</si>
  <si>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</si>
  <si>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</si>
  <si>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</si>
  <si>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</si>
  <si>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</si>
  <si>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</si>
  <si>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</si>
  <si>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</si>
  <si>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</si>
  <si>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</si>
  <si>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</si>
  <si>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</si>
  <si>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</si>
  <si>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</si>
  <si>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</si>
  <si>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</si>
  <si>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</si>
  <si>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</si>
  <si>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</si>
  <si>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</si>
  <si>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</si>
  <si>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</si>
  <si>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</si>
  <si>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</si>
  <si>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</si>
  <si>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</si>
  <si>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</si>
  <si>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</si>
  <si>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</si>
  <si>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</si>
  <si>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</si>
  <si>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</si>
  <si>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</si>
  <si>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</si>
  <si>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</si>
  <si>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</si>
  <si>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</si>
  <si>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</si>
  <si>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</si>
  <si>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</si>
  <si>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</si>
  <si>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</si>
  <si>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</si>
  <si>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</si>
  <si>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</si>
  <si>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</si>
  <si>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</si>
  <si>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</si>
  <si>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</si>
  <si>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</si>
  <si>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</si>
  <si>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</si>
  <si>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</si>
  <si>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</si>
  <si>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</si>
  <si>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</si>
  <si>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</si>
  <si>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</si>
  <si>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</si>
  <si>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</si>
  <si>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</si>
  <si>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</si>
  <si>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</si>
  <si>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</si>
  <si>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</si>
  <si>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</si>
  <si>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</si>
  <si>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</si>
  <si>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</si>
  <si>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</si>
  <si>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</si>
  <si>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</si>
  <si>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</si>
  <si>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</si>
  <si>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</si>
  <si>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</si>
  <si>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</si>
  <si>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</si>
  <si>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</si>
  <si>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</si>
  <si>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</si>
  <si>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</si>
  <si>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</si>
  <si>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</si>
  <si>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</si>
  <si>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</si>
  <si>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</si>
  <si>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</si>
  <si>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</si>
  <si>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</si>
  <si>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</si>
  <si>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</si>
  <si>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</si>
  <si>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</si>
  <si>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</si>
  <si>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</si>
  <si>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</si>
  <si>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</si>
  <si>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</si>
  <si>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</si>
  <si>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</si>
  <si>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</si>
  <si>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</si>
  <si>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</si>
  <si>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</si>
  <si>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</si>
  <si>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</si>
  <si>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</si>
  <si>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</si>
  <si>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</si>
  <si>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</si>
  <si>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</si>
  <si>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</si>
  <si>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</si>
  <si>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</si>
  <si>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</si>
  <si>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</si>
  <si>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</si>
  <si>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</si>
  <si>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</si>
  <si>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</si>
  <si>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</si>
  <si>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</si>
  <si>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</si>
  <si>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</si>
  <si>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</si>
  <si>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</si>
  <si>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</si>
  <si>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</si>
  <si>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</si>
  <si>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</si>
  <si>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</si>
  <si>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</si>
  <si>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</si>
  <si>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</si>
  <si>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</si>
  <si>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</si>
  <si>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</si>
  <si>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</si>
  <si>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</si>
  <si>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</si>
  <si>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</si>
  <si>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</si>
  <si>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</si>
  <si>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</si>
  <si>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</si>
  <si>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</si>
  <si>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</si>
  <si>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</si>
  <si>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</si>
  <si>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</si>
  <si>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</si>
  <si>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</si>
  <si>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</si>
  <si>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</si>
  <si>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</si>
  <si>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</si>
  <si>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</si>
  <si>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</si>
  <si>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</si>
  <si>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</si>
  <si>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</si>
  <si>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</si>
  <si>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</si>
  <si>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</si>
  <si>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</si>
  <si>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</si>
  <si>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</si>
  <si>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</si>
  <si>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</si>
  <si>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</si>
  <si>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</si>
  <si>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</si>
  <si>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</si>
  <si>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</si>
  <si>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</si>
  <si>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</si>
  <si>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</si>
  <si>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</si>
  <si>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</si>
  <si>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</si>
  <si>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</si>
  <si>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</si>
  <si>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</si>
  <si>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</si>
  <si>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</si>
  <si>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</si>
  <si>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</si>
  <si>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</si>
  <si>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</si>
  <si>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</si>
  <si>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</si>
  <si>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</si>
  <si>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</si>
  <si>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</si>
  <si>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</si>
  <si>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</si>
  <si>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</si>
  <si>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</si>
  <si>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</si>
  <si>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</si>
  <si>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</si>
  <si>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</si>
  <si>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</si>
  <si>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</si>
  <si>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</si>
  <si>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</si>
  <si>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</si>
  <si>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</si>
  <si>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</si>
  <si>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</si>
  <si>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</si>
  <si>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</si>
  <si>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</si>
  <si>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</si>
  <si>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</si>
  <si>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</si>
  <si>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</si>
  <si>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</si>
  <si>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</si>
  <si>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</si>
  <si>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</si>
  <si>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</si>
  <si>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</si>
  <si>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</si>
  <si>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</si>
  <si>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</si>
  <si>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</si>
  <si>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</si>
  <si>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</si>
  <si>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</si>
  <si>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</si>
  <si>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</si>
  <si>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</si>
  <si>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</si>
  <si>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</si>
  <si>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</si>
  <si>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</si>
  <si>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</si>
  <si>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</si>
  <si>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</si>
  <si>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</si>
  <si>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</si>
  <si>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</si>
  <si>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</si>
  <si>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</si>
  <si>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</si>
  <si>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</si>
  <si>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</si>
  <si>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</si>
  <si>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</si>
  <si>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</si>
  <si>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</si>
  <si>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</si>
  <si>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</si>
  <si>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</si>
  <si>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</si>
  <si>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</si>
  <si>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</si>
  <si>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</si>
  <si>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</si>
  <si>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</si>
  <si>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</si>
  <si>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</si>
  <si>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</si>
  <si>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</si>
  <si>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</si>
  <si>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</si>
  <si>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</si>
  <si>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</si>
  <si>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</si>
  <si>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</si>
  <si>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</si>
  <si>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</si>
  <si>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</si>
  <si>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</si>
  <si>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</si>
  <si>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</si>
  <si>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</si>
  <si>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</si>
  <si>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</si>
  <si>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</si>
  <si>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</si>
  <si>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</si>
  <si>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</si>
  <si>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</si>
  <si>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</si>
  <si>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</si>
  <si>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</si>
  <si>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</si>
  <si>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</si>
  <si>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</si>
  <si>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</si>
  <si>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</si>
  <si>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</si>
  <si>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</si>
  <si>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</si>
  <si>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</si>
  <si>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</si>
  <si>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</si>
  <si>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</si>
  <si>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</si>
  <si>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</si>
  <si>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</si>
  <si>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</si>
  <si>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</si>
  <si>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</si>
  <si>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</si>
  <si>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</si>
  <si>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</si>
  <si>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</si>
  <si>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</si>
  <si>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</si>
  <si>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</si>
  <si>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</si>
  <si>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</si>
  <si>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</si>
  <si>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</si>
  <si>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</si>
  <si>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</si>
  <si>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</si>
  <si>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</si>
  <si>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</si>
  <si>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</si>
  <si>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</si>
  <si>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</si>
  <si>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</si>
  <si>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</si>
  <si>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</si>
  <si>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</si>
  <si>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</si>
  <si>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</si>
  <si>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</si>
  <si>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</si>
  <si>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</si>
  <si>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</si>
  <si>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</si>
  <si>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</si>
  <si>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</si>
  <si>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</si>
  <si>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</si>
  <si>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</si>
  <si>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</si>
  <si>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</si>
  <si>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</si>
  <si>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</si>
  <si>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</si>
  <si>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</si>
  <si>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</si>
  <si>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</si>
  <si>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</si>
  <si>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</si>
  <si>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</si>
  <si>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</si>
  <si>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</si>
  <si>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</si>
  <si>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</si>
  <si>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</si>
  <si>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</si>
  <si>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</si>
  <si>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</si>
  <si>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</si>
  <si>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</si>
  <si>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</si>
  <si>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</si>
  <si>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</si>
  <si>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</si>
  <si>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</si>
  <si>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</si>
  <si>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</si>
  <si>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</si>
  <si>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</si>
  <si>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</si>
  <si>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</si>
  <si>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</si>
  <si>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</si>
  <si>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</si>
  <si>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</si>
  <si>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</si>
  <si>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</si>
  <si>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</si>
  <si>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</si>
  <si>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</si>
  <si>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</si>
  <si>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</si>
  <si>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</si>
  <si>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</si>
  <si>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</si>
  <si>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</si>
  <si>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</si>
  <si>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</si>
  <si>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</si>
  <si>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</si>
  <si>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</si>
  <si>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</si>
  <si>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</si>
  <si>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</si>
  <si>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</si>
  <si>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</si>
  <si>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</si>
  <si>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</si>
  <si>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</si>
  <si>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</si>
  <si>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</si>
  <si>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</si>
  <si>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</si>
  <si>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</si>
  <si>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</si>
  <si>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</si>
  <si>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</si>
  <si>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</si>
  <si>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</si>
  <si>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</si>
  <si>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</si>
  <si>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</si>
  <si>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</si>
  <si>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</si>
  <si>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</si>
  <si>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</si>
  <si>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</si>
  <si>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</si>
  <si>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</si>
  <si>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</si>
  <si>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</si>
  <si>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</si>
  <si>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</si>
  <si>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</si>
  <si>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</si>
  <si>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</si>
  <si>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</si>
  <si>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</si>
  <si>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</si>
  <si>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</si>
  <si>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</si>
  <si>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</si>
  <si>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</si>
  <si>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</si>
  <si>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</si>
  <si>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</si>
  <si>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</si>
  <si>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</si>
  <si>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</si>
  <si>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</si>
  <si>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</si>
  <si>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</si>
  <si>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</si>
  <si>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</si>
  <si>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</si>
  <si>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</si>
  <si>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</si>
  <si>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</si>
  <si>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</si>
  <si>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</si>
  <si>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</si>
  <si>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</si>
  <si>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</si>
  <si>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</si>
  <si>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</si>
  <si>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</si>
  <si>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</si>
  <si>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</si>
  <si>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</si>
  <si>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</si>
  <si>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</si>
  <si>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</si>
  <si>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</si>
  <si>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</si>
  <si>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</si>
  <si>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</si>
  <si>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</si>
  <si>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</si>
  <si>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</si>
  <si>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</si>
  <si>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</si>
  <si>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</si>
  <si>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</si>
  <si>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</si>
  <si>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</si>
  <si>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</si>
  <si>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</si>
  <si>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</si>
  <si>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</si>
  <si>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</si>
  <si>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</si>
  <si>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</si>
  <si>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</si>
  <si>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</si>
  <si>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</si>
  <si>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</si>
  <si>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</si>
  <si>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</si>
  <si>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</si>
  <si>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</si>
  <si>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</si>
  <si>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</si>
  <si>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</si>
  <si>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</si>
  <si>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</si>
  <si>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</si>
  <si>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</si>
  <si>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</si>
  <si>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</si>
  <si>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</si>
  <si>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</si>
  <si>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</si>
  <si>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</si>
  <si>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</si>
  <si>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</si>
  <si>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</si>
  <si>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</si>
  <si>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</si>
  <si>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</si>
  <si>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</si>
  <si>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</si>
  <si>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</si>
  <si>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</si>
  <si>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</si>
  <si>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</si>
  <si>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</si>
  <si>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</si>
  <si>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</si>
  <si>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</si>
  <si>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</si>
  <si>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</si>
  <si>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</si>
  <si>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</si>
  <si>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</si>
  <si>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</si>
  <si>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</si>
  <si>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</si>
  <si>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</si>
  <si>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</si>
  <si>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</si>
  <si>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</si>
  <si>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</si>
  <si>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</si>
  <si>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</si>
  <si>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</si>
  <si>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</si>
  <si>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</si>
  <si>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</si>
  <si>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</si>
  <si>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</si>
  <si>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</si>
  <si>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</si>
  <si>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</si>
  <si>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</si>
  <si>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</si>
  <si>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</si>
  <si>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</si>
  <si>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</si>
  <si>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</si>
  <si>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</si>
  <si>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</si>
  <si>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</si>
  <si>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</si>
  <si>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</si>
  <si>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</si>
  <si>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</si>
  <si>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</si>
  <si>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</si>
  <si>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</si>
  <si>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</si>
  <si>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</si>
  <si>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</si>
  <si>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</si>
  <si>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</si>
  <si>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</si>
  <si>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</si>
  <si>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</si>
  <si>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</si>
  <si>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</si>
  <si>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</si>
  <si>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</si>
  <si>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</si>
  <si>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</si>
  <si>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</si>
  <si>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</si>
  <si>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</si>
  <si>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</si>
  <si>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</si>
  <si>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</si>
  <si>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</si>
  <si>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</si>
  <si>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</si>
  <si>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</si>
  <si>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</si>
  <si>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</si>
  <si>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</si>
  <si>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</si>
  <si>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</si>
  <si>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</si>
  <si>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</si>
  <si>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</si>
  <si>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</si>
  <si>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</si>
  <si>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</si>
  <si>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</si>
  <si>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</si>
  <si>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</si>
  <si>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</si>
  <si>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</si>
  <si>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</si>
  <si>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</si>
  <si>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</si>
  <si>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</si>
  <si>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</si>
  <si>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</si>
  <si>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</si>
  <si>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</si>
  <si>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</si>
  <si>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</si>
  <si>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</si>
  <si>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</si>
  <si>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</si>
  <si>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</si>
  <si>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</si>
  <si>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</si>
  <si>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</si>
  <si>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</si>
  <si>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</si>
  <si>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</si>
  <si>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</si>
  <si>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</si>
  <si>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</si>
  <si>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</si>
  <si>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</si>
  <si>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</si>
  <si>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</si>
  <si>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</si>
  <si>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</si>
  <si>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</si>
  <si>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</si>
  <si>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</si>
  <si>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</si>
  <si>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</si>
  <si>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</si>
  <si>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</si>
  <si>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</si>
  <si>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</si>
  <si>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</si>
  <si>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</si>
  <si>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</si>
  <si>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</si>
  <si>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</si>
  <si>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</si>
  <si>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</si>
  <si>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</si>
  <si>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</si>
  <si>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</si>
  <si>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</si>
  <si>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</si>
  <si>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</si>
  <si>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</si>
  <si>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</si>
  <si>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</si>
  <si>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</si>
  <si>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</si>
  <si>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</si>
  <si>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</si>
  <si>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</si>
  <si>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</si>
  <si>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</si>
  <si>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</si>
  <si>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</si>
  <si>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</si>
  <si>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</si>
  <si>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</si>
  <si>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</si>
  <si>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</si>
  <si>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</si>
  <si>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</si>
  <si>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</si>
  <si>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</si>
  <si>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</si>
  <si>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</si>
  <si>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</si>
  <si>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12040</t>
  </si>
  <si>
    <t>WILLEBROEK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</si>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</sst>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164748.13147523595</c:v>
                </c:pt>
                <c:pt idx="1">
                  <c:v>118913.04995732466</c:v>
                </c:pt>
                <c:pt idx="2">
                  <c:v>1587.7560000000001</c:v>
                </c:pt>
                <c:pt idx="3">
                  <c:v>5442.0703694226377</c:v>
                </c:pt>
                <c:pt idx="4">
                  <c:v>245047.30495998292</c:v>
                </c:pt>
                <c:pt idx="5">
                  <c:v>295285.3843098465</c:v>
                </c:pt>
                <c:pt idx="6">
                  <c:v>2169.5912340936693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164748.13147523595</c:v>
                </c:pt>
                <c:pt idx="1">
                  <c:v>118913.04995732466</c:v>
                </c:pt>
                <c:pt idx="2">
                  <c:v>1587.7560000000001</c:v>
                </c:pt>
                <c:pt idx="3">
                  <c:v>5442.0703694226377</c:v>
                </c:pt>
                <c:pt idx="4">
                  <c:v>245047.30495998292</c:v>
                </c:pt>
                <c:pt idx="5">
                  <c:v>295285.3843098465</c:v>
                </c:pt>
                <c:pt idx="6">
                  <c:v>2169.5912340936693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29710.151061432738</c:v>
                </c:pt>
                <c:pt idx="1">
                  <c:v>23087.37503008973</c:v>
                </c:pt>
                <c:pt idx="2">
                  <c:v>289.36437489852813</c:v>
                </c:pt>
                <c:pt idx="3">
                  <c:v>1173.1420449451514</c:v>
                </c:pt>
                <c:pt idx="4">
                  <c:v>47842.04308554325</c:v>
                </c:pt>
                <c:pt idx="5">
                  <c:v>75743.280695873997</c:v>
                </c:pt>
                <c:pt idx="6">
                  <c:v>561.85342328124034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83488"/>
      </c:barChart>
      <c:catAx>
        <c:axId val="183421952"/>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29710.151061432738</c:v>
                </c:pt>
                <c:pt idx="1">
                  <c:v>23087.37503008973</c:v>
                </c:pt>
                <c:pt idx="2">
                  <c:v>289.36437489852813</c:v>
                </c:pt>
                <c:pt idx="3">
                  <c:v>1173.1420449451514</c:v>
                </c:pt>
                <c:pt idx="4">
                  <c:v>47842.04308554325</c:v>
                </c:pt>
                <c:pt idx="5">
                  <c:v>75743.280695873997</c:v>
                </c:pt>
                <c:pt idx="6">
                  <c:v>561.85342328124034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12040</v>
      </c>
      <c r="B6" s="415"/>
      <c r="C6" s="416"/>
    </row>
    <row r="7" spans="1:7" s="413" customFormat="1" ht="15.75" customHeight="1">
      <c r="A7" s="417" t="str">
        <f>txtMunicipality</f>
        <v>WILLEBROEK</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10317</v>
      </c>
      <c r="C9" s="342">
        <v>10907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657.71</v>
      </c>
    </row>
    <row r="15" spans="1:6">
      <c r="A15" s="348" t="s">
        <v>184</v>
      </c>
      <c r="B15" s="334">
        <v>5</v>
      </c>
    </row>
    <row r="16" spans="1:6">
      <c r="A16" s="348" t="s">
        <v>6</v>
      </c>
      <c r="B16" s="334">
        <v>237</v>
      </c>
    </row>
    <row r="17" spans="1:6">
      <c r="A17" s="348" t="s">
        <v>7</v>
      </c>
      <c r="B17" s="334">
        <v>134</v>
      </c>
    </row>
    <row r="18" spans="1:6">
      <c r="A18" s="348" t="s">
        <v>8</v>
      </c>
      <c r="B18" s="334">
        <v>269</v>
      </c>
    </row>
    <row r="19" spans="1:6">
      <c r="A19" s="348" t="s">
        <v>9</v>
      </c>
      <c r="B19" s="334">
        <v>237</v>
      </c>
    </row>
    <row r="20" spans="1:6">
      <c r="A20" s="348" t="s">
        <v>10</v>
      </c>
      <c r="B20" s="334">
        <v>302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812</v>
      </c>
      <c r="B29" s="355">
        <v>1</v>
      </c>
      <c r="C29" s="356"/>
      <c r="D29" s="356"/>
      <c r="E29" s="356"/>
      <c r="F29" s="356"/>
    </row>
    <row r="30" spans="1:6">
      <c r="A30" s="355" t="s">
        <v>813</v>
      </c>
      <c r="B30" s="341">
        <v>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5492</v>
      </c>
    </row>
    <row r="37" spans="1:6">
      <c r="A37" s="348" t="s">
        <v>25</v>
      </c>
      <c r="B37" s="348" t="s">
        <v>28</v>
      </c>
      <c r="C37" s="334">
        <v>0</v>
      </c>
      <c r="D37" s="334">
        <v>0</v>
      </c>
      <c r="E37" s="334">
        <v>0</v>
      </c>
      <c r="F37" s="334">
        <v>0</v>
      </c>
    </row>
    <row r="38" spans="1:6">
      <c r="A38" s="348" t="s">
        <v>25</v>
      </c>
      <c r="B38" s="348" t="s">
        <v>29</v>
      </c>
      <c r="C38" s="334">
        <v>0</v>
      </c>
      <c r="D38" s="334">
        <v>0</v>
      </c>
      <c r="E38" s="334">
        <v>2</v>
      </c>
      <c r="F38" s="334">
        <v>44764.755276999997</v>
      </c>
    </row>
    <row r="39" spans="1:6">
      <c r="A39" s="348" t="s">
        <v>30</v>
      </c>
      <c r="B39" s="348" t="s">
        <v>31</v>
      </c>
      <c r="C39" s="334">
        <v>8803</v>
      </c>
      <c r="D39" s="334">
        <v>125126093.04000001</v>
      </c>
      <c r="E39" s="334">
        <v>10345</v>
      </c>
      <c r="F39" s="334">
        <v>33088768.539000001</v>
      </c>
    </row>
    <row r="40" spans="1:6">
      <c r="A40" s="348" t="s">
        <v>30</v>
      </c>
      <c r="B40" s="348" t="s">
        <v>29</v>
      </c>
      <c r="C40" s="334">
        <v>0</v>
      </c>
      <c r="D40" s="334">
        <v>0</v>
      </c>
      <c r="E40" s="334">
        <v>0</v>
      </c>
      <c r="F40" s="334">
        <v>0</v>
      </c>
    </row>
    <row r="41" spans="1:6">
      <c r="A41" s="348" t="s">
        <v>32</v>
      </c>
      <c r="B41" s="348" t="s">
        <v>33</v>
      </c>
      <c r="C41" s="334">
        <v>65</v>
      </c>
      <c r="D41" s="334">
        <v>2472011.7969</v>
      </c>
      <c r="E41" s="334">
        <v>273</v>
      </c>
      <c r="F41" s="334">
        <v>2696567.5247999998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8089834.7512999997</v>
      </c>
      <c r="E44" s="334">
        <v>19</v>
      </c>
      <c r="F44" s="334">
        <v>703987.02745000005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35774.490700000002</v>
      </c>
    </row>
    <row r="48" spans="1:6">
      <c r="A48" s="348" t="s">
        <v>32</v>
      </c>
      <c r="B48" s="348" t="s">
        <v>29</v>
      </c>
      <c r="C48" s="334">
        <v>32</v>
      </c>
      <c r="D48" s="334">
        <v>192755511.63999999</v>
      </c>
      <c r="E48" s="334">
        <v>42</v>
      </c>
      <c r="F48" s="334">
        <v>35266926.170999996</v>
      </c>
    </row>
    <row r="49" spans="1:6">
      <c r="A49" s="348" t="s">
        <v>32</v>
      </c>
      <c r="B49" s="348" t="s">
        <v>40</v>
      </c>
      <c r="C49" s="334">
        <v>0</v>
      </c>
      <c r="D49" s="334">
        <v>0</v>
      </c>
      <c r="E49" s="334">
        <v>0</v>
      </c>
      <c r="F49" s="334">
        <v>0</v>
      </c>
    </row>
    <row r="50" spans="1:6">
      <c r="A50" s="348" t="s">
        <v>32</v>
      </c>
      <c r="B50" s="348" t="s">
        <v>41</v>
      </c>
      <c r="C50" s="334">
        <v>12</v>
      </c>
      <c r="D50" s="334">
        <v>777369.88647000003</v>
      </c>
      <c r="E50" s="334">
        <v>18</v>
      </c>
      <c r="F50" s="334">
        <v>598089.63439999998</v>
      </c>
    </row>
    <row r="51" spans="1:6">
      <c r="A51" s="348" t="s">
        <v>42</v>
      </c>
      <c r="B51" s="348" t="s">
        <v>43</v>
      </c>
      <c r="C51" s="334">
        <v>0</v>
      </c>
      <c r="D51" s="334">
        <v>0</v>
      </c>
      <c r="E51" s="334">
        <v>23</v>
      </c>
      <c r="F51" s="334">
        <v>226221.31833000001</v>
      </c>
    </row>
    <row r="52" spans="1:6">
      <c r="A52" s="348" t="s">
        <v>42</v>
      </c>
      <c r="B52" s="348" t="s">
        <v>29</v>
      </c>
      <c r="C52" s="334">
        <v>5</v>
      </c>
      <c r="D52" s="334">
        <v>111536.73233</v>
      </c>
      <c r="E52" s="334">
        <v>6</v>
      </c>
      <c r="F52" s="334">
        <v>80998.144597000006</v>
      </c>
    </row>
    <row r="53" spans="1:6">
      <c r="A53" s="348" t="s">
        <v>44</v>
      </c>
      <c r="B53" s="348" t="s">
        <v>45</v>
      </c>
      <c r="C53" s="334">
        <v>198</v>
      </c>
      <c r="D53" s="334">
        <v>4278435.4971000003</v>
      </c>
      <c r="E53" s="334">
        <v>360</v>
      </c>
      <c r="F53" s="334">
        <v>1291757.8502</v>
      </c>
    </row>
    <row r="54" spans="1:6">
      <c r="A54" s="348" t="s">
        <v>46</v>
      </c>
      <c r="B54" s="348" t="s">
        <v>47</v>
      </c>
      <c r="C54" s="334">
        <v>0</v>
      </c>
      <c r="D54" s="334">
        <v>0</v>
      </c>
      <c r="E54" s="334">
        <v>1</v>
      </c>
      <c r="F54" s="334">
        <v>1587756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1315601.0438000001</v>
      </c>
      <c r="E57" s="334">
        <v>114</v>
      </c>
      <c r="F57" s="334">
        <v>3734788.3232999998</v>
      </c>
    </row>
    <row r="58" spans="1:6">
      <c r="A58" s="348" t="s">
        <v>49</v>
      </c>
      <c r="B58" s="348" t="s">
        <v>51</v>
      </c>
      <c r="C58" s="334">
        <v>45</v>
      </c>
      <c r="D58" s="334">
        <v>3721773.6468000002</v>
      </c>
      <c r="E58" s="334">
        <v>53</v>
      </c>
      <c r="F58" s="334">
        <v>1294240.2731000001</v>
      </c>
    </row>
    <row r="59" spans="1:6">
      <c r="A59" s="348" t="s">
        <v>49</v>
      </c>
      <c r="B59" s="348" t="s">
        <v>52</v>
      </c>
      <c r="C59" s="334">
        <v>127</v>
      </c>
      <c r="D59" s="334">
        <v>10237407.055</v>
      </c>
      <c r="E59" s="334">
        <v>259</v>
      </c>
      <c r="F59" s="334">
        <v>21706277.440000001</v>
      </c>
    </row>
    <row r="60" spans="1:6">
      <c r="A60" s="348" t="s">
        <v>49</v>
      </c>
      <c r="B60" s="348" t="s">
        <v>53</v>
      </c>
      <c r="C60" s="334">
        <v>72</v>
      </c>
      <c r="D60" s="334">
        <v>2418289.1987000001</v>
      </c>
      <c r="E60" s="334">
        <v>91</v>
      </c>
      <c r="F60" s="334">
        <v>2256445.5921999998</v>
      </c>
    </row>
    <row r="61" spans="1:6">
      <c r="A61" s="348" t="s">
        <v>49</v>
      </c>
      <c r="B61" s="348" t="s">
        <v>54</v>
      </c>
      <c r="C61" s="334">
        <v>267</v>
      </c>
      <c r="D61" s="334">
        <v>16369853.071</v>
      </c>
      <c r="E61" s="334">
        <v>416</v>
      </c>
      <c r="F61" s="334">
        <v>21776462.335000001</v>
      </c>
    </row>
    <row r="62" spans="1:6">
      <c r="A62" s="348" t="s">
        <v>49</v>
      </c>
      <c r="B62" s="348" t="s">
        <v>55</v>
      </c>
      <c r="C62" s="334">
        <v>10</v>
      </c>
      <c r="D62" s="334">
        <v>2187167.9602999999</v>
      </c>
      <c r="E62" s="334">
        <v>24</v>
      </c>
      <c r="F62" s="334">
        <v>476242.17374</v>
      </c>
    </row>
    <row r="63" spans="1:6">
      <c r="A63" s="348" t="s">
        <v>49</v>
      </c>
      <c r="B63" s="348" t="s">
        <v>29</v>
      </c>
      <c r="C63" s="334">
        <v>108</v>
      </c>
      <c r="D63" s="334">
        <v>12092204.137</v>
      </c>
      <c r="E63" s="334">
        <v>97</v>
      </c>
      <c r="F63" s="334">
        <v>5772806.7846999997</v>
      </c>
    </row>
    <row r="64" spans="1:6">
      <c r="A64" s="348" t="s">
        <v>56</v>
      </c>
      <c r="B64" s="348" t="s">
        <v>57</v>
      </c>
      <c r="C64" s="334">
        <v>0</v>
      </c>
      <c r="D64" s="334">
        <v>0</v>
      </c>
      <c r="E64" s="334">
        <v>0</v>
      </c>
      <c r="F64" s="334">
        <v>0</v>
      </c>
    </row>
    <row r="65" spans="1:6">
      <c r="A65" s="348" t="s">
        <v>56</v>
      </c>
      <c r="B65" s="348" t="s">
        <v>29</v>
      </c>
      <c r="C65" s="334">
        <v>4</v>
      </c>
      <c r="D65" s="334">
        <v>87070.036225999997</v>
      </c>
      <c r="E65" s="334">
        <v>4</v>
      </c>
      <c r="F65" s="334">
        <v>37125.608530999998</v>
      </c>
    </row>
    <row r="66" spans="1:6">
      <c r="A66" s="348" t="s">
        <v>56</v>
      </c>
      <c r="B66" s="348" t="s">
        <v>58</v>
      </c>
      <c r="C66" s="334">
        <v>0</v>
      </c>
      <c r="D66" s="334">
        <v>0</v>
      </c>
      <c r="E66" s="334">
        <v>8</v>
      </c>
      <c r="F66" s="334">
        <v>134286.67624999999</v>
      </c>
    </row>
    <row r="67" spans="1:6">
      <c r="A67" s="355" t="s">
        <v>56</v>
      </c>
      <c r="B67" s="355" t="s">
        <v>59</v>
      </c>
      <c r="C67" s="334">
        <v>0</v>
      </c>
      <c r="D67" s="334">
        <v>0</v>
      </c>
      <c r="E67" s="334">
        <v>0</v>
      </c>
      <c r="F67" s="334">
        <v>0</v>
      </c>
    </row>
    <row r="68" spans="1:6">
      <c r="A68" s="341" t="s">
        <v>56</v>
      </c>
      <c r="B68" s="341" t="s">
        <v>60</v>
      </c>
      <c r="C68" s="334">
        <v>4</v>
      </c>
      <c r="D68" s="334">
        <v>54855.630047999999</v>
      </c>
      <c r="E68" s="334">
        <v>9</v>
      </c>
      <c r="F68" s="334">
        <v>1899385.0247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150040299</v>
      </c>
      <c r="E73" s="476">
        <v>154943120.00274974</v>
      </c>
    </row>
    <row r="74" spans="1:6">
      <c r="A74" s="348" t="s">
        <v>64</v>
      </c>
      <c r="B74" s="348" t="s">
        <v>667</v>
      </c>
      <c r="C74" s="1212" t="s">
        <v>669</v>
      </c>
      <c r="D74" s="476">
        <v>29084382.686375245</v>
      </c>
      <c r="E74" s="476">
        <v>29767546.336456668</v>
      </c>
    </row>
    <row r="75" spans="1:6">
      <c r="A75" s="348" t="s">
        <v>65</v>
      </c>
      <c r="B75" s="348" t="s">
        <v>666</v>
      </c>
      <c r="C75" s="1212" t="s">
        <v>670</v>
      </c>
      <c r="D75" s="476">
        <v>47976230</v>
      </c>
      <c r="E75" s="476">
        <v>49483461.925614484</v>
      </c>
    </row>
    <row r="76" spans="1:6">
      <c r="A76" s="348" t="s">
        <v>65</v>
      </c>
      <c r="B76" s="348" t="s">
        <v>667</v>
      </c>
      <c r="C76" s="1212" t="s">
        <v>671</v>
      </c>
      <c r="D76" s="476">
        <v>6134161.6863752473</v>
      </c>
      <c r="E76" s="476">
        <v>6332312.1984064262</v>
      </c>
    </row>
    <row r="77" spans="1:6">
      <c r="A77" s="348" t="s">
        <v>66</v>
      </c>
      <c r="B77" s="348" t="s">
        <v>666</v>
      </c>
      <c r="C77" s="1212" t="s">
        <v>672</v>
      </c>
      <c r="D77" s="476">
        <v>59223700</v>
      </c>
      <c r="E77" s="476">
        <v>61739409.280920476</v>
      </c>
    </row>
    <row r="78" spans="1:6">
      <c r="A78" s="341" t="s">
        <v>66</v>
      </c>
      <c r="B78" s="341" t="s">
        <v>667</v>
      </c>
      <c r="C78" s="341" t="s">
        <v>673</v>
      </c>
      <c r="D78" s="1213">
        <v>8797932</v>
      </c>
      <c r="E78" s="1213">
        <v>9301247.6175639089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582722.6272495063</v>
      </c>
      <c r="C83" s="476">
        <v>582722.6272495063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7054.9607003193541</v>
      </c>
    </row>
    <row r="91" spans="1:6">
      <c r="A91" s="348" t="s">
        <v>68</v>
      </c>
      <c r="B91" s="334">
        <v>2680.0237344394891</v>
      </c>
    </row>
    <row r="92" spans="1:6">
      <c r="A92" s="341" t="s">
        <v>69</v>
      </c>
      <c r="B92" s="342">
        <v>13769.557591076751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62</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1</v>
      </c>
    </row>
    <row r="131" spans="1:6">
      <c r="A131" s="348" t="s">
        <v>296</v>
      </c>
      <c r="B131" s="334">
        <v>1</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134042.65595825328</v>
      </c>
      <c r="C3" s="43" t="s">
        <v>170</v>
      </c>
      <c r="D3" s="43"/>
      <c r="E3" s="154"/>
      <c r="F3" s="43"/>
      <c r="G3" s="43"/>
      <c r="H3" s="43"/>
      <c r="I3" s="43"/>
      <c r="J3" s="43"/>
      <c r="K3" s="96"/>
    </row>
    <row r="4" spans="1:11">
      <c r="A4" s="383" t="s">
        <v>171</v>
      </c>
      <c r="B4" s="49">
        <f>IF(ISERROR('SEAP template'!B69),0,'SEAP template'!B69)</f>
        <v>23504.542025835595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0.1822473824054377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1587.7560000000001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1587.7560000000001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0.1822473824054377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289.36437489852813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33088.768539000004</v>
      </c>
      <c r="C5" s="17">
        <f>IF(ISERROR('Eigen informatie GS &amp; warmtenet'!B57),0,'Eigen informatie GS &amp; warmtenet'!B57)</f>
        <v>0</v>
      </c>
      <c r="D5" s="30">
        <f>(SUM(HH_hh_gas_kWh,HH_rest_gas_kWh)/1000)*0.902</f>
        <v>112863.73592208001</v>
      </c>
      <c r="E5" s="17">
        <f>B46*B57</f>
        <v>1730.8706675523449</v>
      </c>
      <c r="F5" s="17">
        <f>B51*B62</f>
        <v>0</v>
      </c>
      <c r="G5" s="18"/>
      <c r="H5" s="17"/>
      <c r="I5" s="17"/>
      <c r="J5" s="17">
        <f>B50*B61+C50*C61</f>
        <v>0</v>
      </c>
      <c r="K5" s="17"/>
      <c r="L5" s="17"/>
      <c r="M5" s="17"/>
      <c r="N5" s="17">
        <f>B48*B59+C48*C59</f>
        <v>12744.632612164072</v>
      </c>
      <c r="O5" s="17">
        <f>B69*B70*B71</f>
        <v>171.96666666666667</v>
      </c>
      <c r="P5" s="17">
        <f>B77*B78*B79/1000-B77*B78*B79/1000/B80</f>
        <v>1468.1333333333332</v>
      </c>
    </row>
    <row r="6" spans="1:16">
      <c r="A6" s="16" t="s">
        <v>624</v>
      </c>
      <c r="B6" s="843">
        <f>kWh_PV_kleiner_dan_10kW</f>
        <v>2680.0237344394891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35768.792273439496</v>
      </c>
      <c r="C8" s="21">
        <f>C5</f>
        <v>0</v>
      </c>
      <c r="D8" s="21">
        <f>D5</f>
        <v>112863.73592208001</v>
      </c>
      <c r="E8" s="21">
        <f>E5</f>
        <v>1730.8706675523449</v>
      </c>
      <c r="F8" s="21">
        <f>F5</f>
        <v>0</v>
      </c>
      <c r="G8" s="21"/>
      <c r="H8" s="21"/>
      <c r="I8" s="21"/>
      <c r="J8" s="21">
        <f>J5</f>
        <v>0</v>
      </c>
      <c r="K8" s="21"/>
      <c r="L8" s="21">
        <f>L5</f>
        <v>0</v>
      </c>
      <c r="M8" s="21">
        <f>M5</f>
        <v>0</v>
      </c>
      <c r="N8" s="21">
        <f>N5</f>
        <v>12744.632612164072</v>
      </c>
      <c r="O8" s="21">
        <f>O5</f>
        <v>171.96666666666667</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0.1822473824054377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6518.7687636381934</v>
      </c>
      <c r="C12" s="23">
        <f ca="1">C10*C8</f>
        <v>0</v>
      </c>
      <c r="D12" s="23">
        <f>D8*D10</f>
        <v>22798.474656260165</v>
      </c>
      <c r="E12" s="23">
        <f>E10*E8</f>
        <v>392.90764153438232</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10317</v>
      </c>
      <c r="C28" s="36"/>
      <c r="D28" s="228"/>
    </row>
    <row r="29" spans="1:7" s="15" customFormat="1">
      <c r="A29" s="230" t="s">
        <v>699</v>
      </c>
      <c r="B29" s="37">
        <f>SUM(HH_hh_gas_aantal,HH_rest_gas_aantal)</f>
        <v>8803</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8803</v>
      </c>
      <c r="C32" s="167">
        <f>IF(ISERROR(B32/SUM($B$32,$B$34,$B$35,$B$36,$B$38,$B$39)*100),0,B32/SUM($B$32,$B$34,$B$35,$B$36,$B$38,$B$39)*100)</f>
        <v>85.966796875</v>
      </c>
      <c r="D32" s="233"/>
      <c r="G32" s="15"/>
    </row>
    <row r="33" spans="1:7">
      <c r="A33" s="171" t="s">
        <v>72</v>
      </c>
      <c r="B33" s="34" t="s">
        <v>111</v>
      </c>
      <c r="C33" s="167"/>
      <c r="D33" s="233"/>
      <c r="G33" s="15"/>
    </row>
    <row r="34" spans="1:7">
      <c r="A34" s="171" t="s">
        <v>73</v>
      </c>
      <c r="B34" s="33">
        <f>IF((($B$28-$B$32-$B$39-$B$77-$B$38)*C20/100)&lt;0,0,($B$28-$B$32-$B$39-$B$77-$B$38)*C20/100)</f>
        <v>76.526627218934919</v>
      </c>
      <c r="C34" s="167">
        <f>IF(ISERROR(B34/SUM($B$32,$B$34,$B$35,$B$36,$B$38,$B$39)*100),0,B34/SUM($B$32,$B$34,$B$35,$B$36,$B$38,$B$39)*100)</f>
        <v>0.74733034393491127</v>
      </c>
      <c r="D34" s="233"/>
      <c r="G34" s="15"/>
    </row>
    <row r="35" spans="1:7">
      <c r="A35" s="171" t="s">
        <v>74</v>
      </c>
      <c r="B35" s="33">
        <f>IF((($B$28-$B$32-$B$39-$B$77-$B$38)*C21/100)&lt;0,0,($B$28-$B$32-$B$39-$B$77-$B$38)*C21/100)</f>
        <v>1162.0710059171597</v>
      </c>
      <c r="C35" s="167">
        <f>IF(ISERROR(B35/SUM($B$32,$B$34,$B$35,$B$36,$B$38,$B$39)*100),0,B35/SUM($B$32,$B$34,$B$35,$B$36,$B$38,$B$39)*100)</f>
        <v>11.348349667159763</v>
      </c>
      <c r="D35" s="233"/>
      <c r="G35" s="15"/>
    </row>
    <row r="36" spans="1:7">
      <c r="A36" s="171" t="s">
        <v>75</v>
      </c>
      <c r="B36" s="33">
        <f>IF((($B$28-$B$32-$B$39-$B$77-$B$38)*C22/100)&lt;0,0,($B$28-$B$32-$B$39-$B$77-$B$38)*C22/100)</f>
        <v>198.40236686390534</v>
      </c>
      <c r="C36" s="167">
        <f>IF(ISERROR(B36/SUM($B$32,$B$34,$B$35,$B$36,$B$38,$B$39)*100),0,B36/SUM($B$32,$B$34,$B$35,$B$36,$B$38,$B$39)*100)</f>
        <v>1.9375231139053255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8803</v>
      </c>
      <c r="C44" s="34" t="s">
        <v>111</v>
      </c>
      <c r="D44" s="174"/>
    </row>
    <row r="45" spans="1:7">
      <c r="A45" s="171" t="s">
        <v>72</v>
      </c>
      <c r="B45" s="33" t="str">
        <f t="shared" si="0"/>
        <v>-</v>
      </c>
      <c r="C45" s="34" t="s">
        <v>111</v>
      </c>
      <c r="D45" s="174"/>
    </row>
    <row r="46" spans="1:7">
      <c r="A46" s="171" t="s">
        <v>73</v>
      </c>
      <c r="B46" s="33">
        <f t="shared" si="0"/>
        <v>76.526627218934919</v>
      </c>
      <c r="C46" s="34" t="s">
        <v>111</v>
      </c>
      <c r="D46" s="174"/>
    </row>
    <row r="47" spans="1:7">
      <c r="A47" s="171" t="s">
        <v>74</v>
      </c>
      <c r="B47" s="33">
        <f t="shared" si="0"/>
        <v>1162.0710059171597</v>
      </c>
      <c r="C47" s="34" t="s">
        <v>111</v>
      </c>
      <c r="D47" s="174"/>
    </row>
    <row r="48" spans="1:7">
      <c r="A48" s="171" t="s">
        <v>75</v>
      </c>
      <c r="B48" s="33">
        <f t="shared" si="0"/>
        <v>198.40236686390534</v>
      </c>
      <c r="C48" s="33">
        <f>B48*10</f>
        <v>1984.0236686390535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57017.262922040005</v>
      </c>
      <c r="C5" s="17">
        <f>IF(ISERROR('Eigen informatie GS &amp; warmtenet'!B58),0,'Eigen informatie GS &amp; warmtenet'!B58)</f>
        <v>0</v>
      </c>
      <c r="D5" s="30">
        <f>SUM(D6:D12)</f>
        <v>43604.751093565203</v>
      </c>
      <c r="E5" s="17">
        <f>SUM(E6:E12)</f>
        <v>1153.0982584955634</v>
      </c>
      <c r="F5" s="17">
        <f>SUM(F6:F12)</f>
        <v>13581.329906541787</v>
      </c>
      <c r="G5" s="18"/>
      <c r="H5" s="17"/>
      <c r="I5" s="17"/>
      <c r="J5" s="17">
        <f>SUM(J6:J12)</f>
        <v>0</v>
      </c>
      <c r="K5" s="17"/>
      <c r="L5" s="17"/>
      <c r="M5" s="17"/>
      <c r="N5" s="17">
        <f>SUM(N6:N12)</f>
        <v>3516.911110015441</v>
      </c>
      <c r="O5" s="17">
        <f>B38*B39*B40</f>
        <v>1.5633333333333335</v>
      </c>
      <c r="P5" s="17">
        <f>B46*B47*B48/1000-B46*B47*B48/1000/B49</f>
        <v>38.133333333333333</v>
      </c>
      <c r="R5" s="32"/>
    </row>
    <row r="6" spans="1:18">
      <c r="A6" s="32" t="s">
        <v>54</v>
      </c>
      <c r="B6" s="37">
        <f>B26</f>
        <v>21776.462335</v>
      </c>
      <c r="C6" s="33"/>
      <c r="D6" s="37">
        <f>IF(ISERROR(TER_kantoor_gas_kWh/1000),0,TER_kantoor_gas_kWh/1000)*0.902</f>
        <v>14765.607470042001</v>
      </c>
      <c r="E6" s="33">
        <f>$C$26*'E Balans VL '!I12/100/3.6*1000000</f>
        <v>285.08071667705559</v>
      </c>
      <c r="F6" s="33">
        <f>$C$26*('E Balans VL '!L12+'E Balans VL '!N12)/100/3.6*1000000</f>
        <v>5552.7728658691876</v>
      </c>
      <c r="G6" s="34"/>
      <c r="H6" s="33"/>
      <c r="I6" s="33"/>
      <c r="J6" s="33">
        <f>$C$26*('E Balans VL '!D12+'E Balans VL '!E12)/100/3.6*1000000</f>
        <v>0</v>
      </c>
      <c r="K6" s="33"/>
      <c r="L6" s="33"/>
      <c r="M6" s="33"/>
      <c r="N6" s="33">
        <f>$C$26*'E Balans VL '!Y12/100/3.6*1000000</f>
        <v>21.849793405504613</v>
      </c>
      <c r="O6" s="33"/>
      <c r="P6" s="33"/>
      <c r="R6" s="32"/>
    </row>
    <row r="7" spans="1:18">
      <c r="A7" s="32" t="s">
        <v>53</v>
      </c>
      <c r="B7" s="37">
        <f t="shared" ref="B7:B12" si="0">B27</f>
        <v>2256.4455921999997</v>
      </c>
      <c r="C7" s="33"/>
      <c r="D7" s="37">
        <f>IF(ISERROR(TER_horeca_gas_kWh/1000),0,TER_horeca_gas_kWh/1000)*0.902</f>
        <v>2181.2968572274003</v>
      </c>
      <c r="E7" s="33">
        <f>$C$27*'E Balans VL '!I9/100/3.6*1000000</f>
        <v>74.674623603717379</v>
      </c>
      <c r="F7" s="33">
        <f>$C$27*('E Balans VL '!L9+'E Balans VL '!N9)/100/3.6*1000000</f>
        <v>970.26295689900405</v>
      </c>
      <c r="G7" s="34"/>
      <c r="H7" s="33"/>
      <c r="I7" s="33"/>
      <c r="J7" s="33">
        <f>$C$27*('E Balans VL '!D9+'E Balans VL '!E9)/100/3.6*1000000</f>
        <v>0</v>
      </c>
      <c r="K7" s="33"/>
      <c r="L7" s="33"/>
      <c r="M7" s="33"/>
      <c r="N7" s="33">
        <f>$C$27*'E Balans VL '!Y9/100/3.6*1000000</f>
        <v>0.54315922122843852</v>
      </c>
      <c r="O7" s="33"/>
      <c r="P7" s="33"/>
      <c r="R7" s="32"/>
    </row>
    <row r="8" spans="1:18">
      <c r="A8" s="6" t="s">
        <v>52</v>
      </c>
      <c r="B8" s="37">
        <f t="shared" si="0"/>
        <v>21706.277440000002</v>
      </c>
      <c r="C8" s="33"/>
      <c r="D8" s="37">
        <f>IF(ISERROR(TER_handel_gas_kWh/1000),0,TER_handel_gas_kWh/1000)*0.902</f>
        <v>9234.1411636100001</v>
      </c>
      <c r="E8" s="33">
        <f>$C$28*'E Balans VL '!I13/100/3.6*1000000</f>
        <v>685.08328221108366</v>
      </c>
      <c r="F8" s="33">
        <f>$C$28*('E Balans VL '!L13+'E Balans VL '!N13)/100/3.6*1000000</f>
        <v>4256.9832297991597</v>
      </c>
      <c r="G8" s="34"/>
      <c r="H8" s="33"/>
      <c r="I8" s="33"/>
      <c r="J8" s="33">
        <f>$C$28*('E Balans VL '!D13+'E Balans VL '!E13)/100/3.6*1000000</f>
        <v>0</v>
      </c>
      <c r="K8" s="33"/>
      <c r="L8" s="33"/>
      <c r="M8" s="33"/>
      <c r="N8" s="33">
        <f>$C$28*'E Balans VL '!Y13/100/3.6*1000000</f>
        <v>25.761137099250774</v>
      </c>
      <c r="O8" s="33"/>
      <c r="P8" s="33"/>
      <c r="R8" s="32"/>
    </row>
    <row r="9" spans="1:18">
      <c r="A9" s="32" t="s">
        <v>51</v>
      </c>
      <c r="B9" s="37">
        <f t="shared" si="0"/>
        <v>1294.2402731000002</v>
      </c>
      <c r="C9" s="33"/>
      <c r="D9" s="37">
        <f>IF(ISERROR(TER_gezond_gas_kWh/1000),0,TER_gezond_gas_kWh/1000)*0.902</f>
        <v>3357.0398294136003</v>
      </c>
      <c r="E9" s="33">
        <f>$C$29*'E Balans VL '!I10/100/3.6*1000000</f>
        <v>0.16570061711589928</v>
      </c>
      <c r="F9" s="33">
        <f>$C$29*('E Balans VL '!L10+'E Balans VL '!N10)/100/3.6*1000000</f>
        <v>269.64449546791593</v>
      </c>
      <c r="G9" s="34"/>
      <c r="H9" s="33"/>
      <c r="I9" s="33"/>
      <c r="J9" s="33">
        <f>$C$29*('E Balans VL '!D10+'E Balans VL '!E10)/100/3.6*1000000</f>
        <v>0</v>
      </c>
      <c r="K9" s="33"/>
      <c r="L9" s="33"/>
      <c r="M9" s="33"/>
      <c r="N9" s="33">
        <f>$C$29*'E Balans VL '!Y10/100/3.6*1000000</f>
        <v>15.201463745935262</v>
      </c>
      <c r="O9" s="33"/>
      <c r="P9" s="33"/>
      <c r="R9" s="32"/>
    </row>
    <row r="10" spans="1:18">
      <c r="A10" s="32" t="s">
        <v>50</v>
      </c>
      <c r="B10" s="37">
        <f t="shared" si="0"/>
        <v>3734.7883232999998</v>
      </c>
      <c r="C10" s="33"/>
      <c r="D10" s="37">
        <f>IF(ISERROR(TER_ander_gas_kWh/1000),0,TER_ander_gas_kWh/1000)*0.902</f>
        <v>1186.6721415076001</v>
      </c>
      <c r="E10" s="33">
        <f>$C$30*'E Balans VL '!I14/100/3.6*1000000</f>
        <v>5.6162433445513917</v>
      </c>
      <c r="F10" s="33">
        <f>$C$30*('E Balans VL '!L14+'E Balans VL '!N14)/100/3.6*1000000</f>
        <v>824.52087238820457</v>
      </c>
      <c r="G10" s="34"/>
      <c r="H10" s="33"/>
      <c r="I10" s="33"/>
      <c r="J10" s="33">
        <f>$C$30*('E Balans VL '!D14+'E Balans VL '!E14)/100/3.6*1000000</f>
        <v>0</v>
      </c>
      <c r="K10" s="33"/>
      <c r="L10" s="33"/>
      <c r="M10" s="33"/>
      <c r="N10" s="33">
        <f>$C$30*'E Balans VL '!Y14/100/3.6*1000000</f>
        <v>2943.2645405380295</v>
      </c>
      <c r="O10" s="33"/>
      <c r="P10" s="33"/>
      <c r="R10" s="32"/>
    </row>
    <row r="11" spans="1:18">
      <c r="A11" s="32" t="s">
        <v>55</v>
      </c>
      <c r="B11" s="37">
        <f t="shared" si="0"/>
        <v>476.24217374</v>
      </c>
      <c r="C11" s="33"/>
      <c r="D11" s="37">
        <f>IF(ISERROR(TER_onderwijs_gas_kWh/1000),0,TER_onderwijs_gas_kWh/1000)*0.902</f>
        <v>1972.8255001905998</v>
      </c>
      <c r="E11" s="33">
        <f>$C$31*'E Balans VL '!I11/100/3.6*1000000</f>
        <v>0.83870237691234839</v>
      </c>
      <c r="F11" s="33">
        <f>$C$31*('E Balans VL '!L11+'E Balans VL '!N11)/100/3.6*1000000</f>
        <v>219.88962920363892</v>
      </c>
      <c r="G11" s="34"/>
      <c r="H11" s="33"/>
      <c r="I11" s="33"/>
      <c r="J11" s="33">
        <f>$C$31*('E Balans VL '!D11+'E Balans VL '!E11)/100/3.6*1000000</f>
        <v>0</v>
      </c>
      <c r="K11" s="33"/>
      <c r="L11" s="33"/>
      <c r="M11" s="33"/>
      <c r="N11" s="33">
        <f>$C$31*'E Balans VL '!Y11/100/3.6*1000000</f>
        <v>0.8872457555252532</v>
      </c>
      <c r="O11" s="33"/>
      <c r="P11" s="33"/>
      <c r="R11" s="32"/>
    </row>
    <row r="12" spans="1:18">
      <c r="A12" s="32" t="s">
        <v>260</v>
      </c>
      <c r="B12" s="37">
        <f t="shared" si="0"/>
        <v>5772.8067846999993</v>
      </c>
      <c r="C12" s="33"/>
      <c r="D12" s="37">
        <f>IF(ISERROR(TER_rest_gas_kWh/1000),0,TER_rest_gas_kWh/1000)*0.902</f>
        <v>10907.168131574001</v>
      </c>
      <c r="E12" s="33">
        <f>$C$32*'E Balans VL '!I8/100/3.6*1000000</f>
        <v>101.63898966512726</v>
      </c>
      <c r="F12" s="33">
        <f>$C$32*('E Balans VL '!L8+'E Balans VL '!N8)/100/3.6*1000000</f>
        <v>1487.2558569146761</v>
      </c>
      <c r="G12" s="34"/>
      <c r="H12" s="33"/>
      <c r="I12" s="33"/>
      <c r="J12" s="33">
        <f>$C$32*('E Balans VL '!D8+'E Balans VL '!E8)/100/3.6*1000000</f>
        <v>0</v>
      </c>
      <c r="K12" s="33"/>
      <c r="L12" s="33"/>
      <c r="M12" s="33"/>
      <c r="N12" s="33">
        <f>$C$32*'E Balans VL '!Y8/100/3.6*1000000</f>
        <v>509.40377024996741</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57017.262922040005</v>
      </c>
      <c r="C16" s="21">
        <f t="shared" ca="1" si="1"/>
        <v>0</v>
      </c>
      <c r="D16" s="21">
        <f t="shared" ca="1" si="1"/>
        <v>43604.751093565203</v>
      </c>
      <c r="E16" s="21">
        <f t="shared" si="1"/>
        <v>1153.0982584955634</v>
      </c>
      <c r="F16" s="21">
        <f t="shared" ca="1" si="1"/>
        <v>13581.329906541787</v>
      </c>
      <c r="G16" s="21">
        <f t="shared" si="1"/>
        <v>0</v>
      </c>
      <c r="H16" s="21">
        <f t="shared" si="1"/>
        <v>0</v>
      </c>
      <c r="I16" s="21">
        <f t="shared" si="1"/>
        <v>0</v>
      </c>
      <c r="J16" s="21">
        <f t="shared" si="1"/>
        <v>0</v>
      </c>
      <c r="K16" s="21">
        <f t="shared" si="1"/>
        <v>0</v>
      </c>
      <c r="L16" s="21">
        <f t="shared" ca="1" si="1"/>
        <v>0</v>
      </c>
      <c r="M16" s="21">
        <f t="shared" si="1"/>
        <v>0</v>
      </c>
      <c r="N16" s="21">
        <f t="shared" ca="1" si="1"/>
        <v>3516.911110015441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0.1822473824054377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10391.246919464409</v>
      </c>
      <c r="C20" s="23">
        <f t="shared" ref="C20:P20" ca="1" si="2">C16*C18</f>
        <v>0</v>
      </c>
      <c r="D20" s="23">
        <f t="shared" ca="1" si="2"/>
        <v>8808.159720900172</v>
      </c>
      <c r="E20" s="23">
        <f t="shared" si="2"/>
        <v>261.7533046784929</v>
      </c>
      <c r="F20" s="23">
        <f t="shared" ca="1" si="2"/>
        <v>3626.2150850466574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21776.462335</v>
      </c>
      <c r="C26" s="39">
        <f>IF(ISERROR(B26*3.6/1000000/'E Balans VL '!Z12*100),0,B26*3.6/1000000/'E Balans VL '!Z12*100)</f>
        <v>0.46646874069052957</v>
      </c>
      <c r="D26" s="237" t="s">
        <v>660</v>
      </c>
      <c r="F26" s="6"/>
    </row>
    <row r="27" spans="1:18">
      <c r="A27" s="231" t="s">
        <v>53</v>
      </c>
      <c r="B27" s="33">
        <f>IF(ISERROR(TER_horeca_ele_kWh/1000),0,TER_horeca_ele_kWh/1000)</f>
        <v>2256.4455921999997</v>
      </c>
      <c r="C27" s="39">
        <f>IF(ISERROR(B27*3.6/1000000/'E Balans VL '!Z9*100),0,B27*3.6/1000000/'E Balans VL '!Z9*100)</f>
        <v>0.1810719154492296</v>
      </c>
      <c r="D27" s="237" t="s">
        <v>660</v>
      </c>
      <c r="F27" s="6"/>
    </row>
    <row r="28" spans="1:18">
      <c r="A28" s="171" t="s">
        <v>52</v>
      </c>
      <c r="B28" s="33">
        <f>IF(ISERROR(TER_handel_ele_kWh/1000),0,TER_handel_ele_kWh/1000)</f>
        <v>21706.277440000002</v>
      </c>
      <c r="C28" s="39">
        <f>IF(ISERROR(B28*3.6/1000000/'E Balans VL '!Z13*100),0,B28*3.6/1000000/'E Balans VL '!Z13*100)</f>
        <v>0.64021068223859512</v>
      </c>
      <c r="D28" s="237" t="s">
        <v>660</v>
      </c>
      <c r="F28" s="6"/>
    </row>
    <row r="29" spans="1:18">
      <c r="A29" s="231" t="s">
        <v>51</v>
      </c>
      <c r="B29" s="33">
        <f>IF(ISERROR(TER_gezond_ele_kWh/1000),0,TER_gezond_ele_kWh/1000)</f>
        <v>1294.2402731000002</v>
      </c>
      <c r="C29" s="39">
        <f>IF(ISERROR(B29*3.6/1000000/'E Balans VL '!Z10*100),0,B29*3.6/1000000/'E Balans VL '!Z10*100)</f>
        <v>0.13819016128412334</v>
      </c>
      <c r="D29" s="237" t="s">
        <v>660</v>
      </c>
      <c r="F29" s="6"/>
    </row>
    <row r="30" spans="1:18">
      <c r="A30" s="231" t="s">
        <v>50</v>
      </c>
      <c r="B30" s="33">
        <f>IF(ISERROR(TER_ander_ele_kWh/1000),0,TER_ander_ele_kWh/1000)</f>
        <v>3734.7883232999998</v>
      </c>
      <c r="C30" s="39">
        <f>IF(ISERROR(B30*3.6/1000000/'E Balans VL '!Z14*100),0,B30*3.6/1000000/'E Balans VL '!Z14*100)</f>
        <v>0.28210322798102005</v>
      </c>
      <c r="D30" s="237" t="s">
        <v>660</v>
      </c>
      <c r="F30" s="6"/>
    </row>
    <row r="31" spans="1:18">
      <c r="A31" s="231" t="s">
        <v>55</v>
      </c>
      <c r="B31" s="33">
        <f>IF(ISERROR(TER_onderwijs_ele_kWh/1000),0,TER_onderwijs_ele_kWh/1000)</f>
        <v>476.24217374</v>
      </c>
      <c r="C31" s="39">
        <f>IF(ISERROR(B31*3.6/1000000/'E Balans VL '!Z11*100),0,B31*3.6/1000000/'E Balans VL '!Z11*100)</f>
        <v>9.6169193070067716E-2</v>
      </c>
      <c r="D31" s="237" t="s">
        <v>660</v>
      </c>
    </row>
    <row r="32" spans="1:18">
      <c r="A32" s="231" t="s">
        <v>260</v>
      </c>
      <c r="B32" s="33">
        <f>IF(ISERROR(TER_rest_ele_kWh/1000),0,TER_rest_ele_kWh/1000)</f>
        <v>5772.8067846999993</v>
      </c>
      <c r="C32" s="39">
        <f>IF(ISERROR(B32*3.6/1000000/'E Balans VL '!Z8*100),0,B32*3.6/1000000/'E Balans VL '!Z8*100)</f>
        <v>4.7864606820619437E-2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39301.344848349996</v>
      </c>
      <c r="C5" s="17">
        <f>IF(ISERROR('Eigen informatie GS &amp; warmtenet'!B59),0,'Eigen informatie GS &amp; warmtenet'!B59)</f>
        <v>0</v>
      </c>
      <c r="D5" s="30">
        <f>SUM(D6:D15)</f>
        <v>184093.44472335232</v>
      </c>
      <c r="E5" s="17">
        <f>SUM(E6:E15)</f>
        <v>2642.830293307818</v>
      </c>
      <c r="F5" s="17">
        <f>SUM(F6:F15)</f>
        <v>10451.747327251616</v>
      </c>
      <c r="G5" s="18"/>
      <c r="H5" s="17"/>
      <c r="I5" s="17"/>
      <c r="J5" s="17">
        <f>SUM(J6:J15)</f>
        <v>288.30795153614639</v>
      </c>
      <c r="K5" s="17"/>
      <c r="L5" s="17"/>
      <c r="M5" s="17"/>
      <c r="N5" s="17">
        <f>SUM(N6:N15)</f>
        <v>8269.6298161850391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703.98702745000003</v>
      </c>
      <c r="C8" s="33"/>
      <c r="D8" s="37">
        <f>IF( ISERROR(IND_metaal_Gas_kWH/1000),0,IND_metaal_Gas_kWH/1000)*0.902</f>
        <v>7297.0309456726</v>
      </c>
      <c r="E8" s="33">
        <f>C30*'E Balans VL '!I18/100/3.6*1000000</f>
        <v>25.331582952777495</v>
      </c>
      <c r="F8" s="33">
        <f>C30*'E Balans VL '!L18/100/3.6*1000000+C30*'E Balans VL '!N18/100/3.6*1000000</f>
        <v>307.40831408327239</v>
      </c>
      <c r="G8" s="34"/>
      <c r="H8" s="33"/>
      <c r="I8" s="33"/>
      <c r="J8" s="40">
        <f>C30*'E Balans VL '!D18/100/3.6*1000000+C30*'E Balans VL '!E18/100/3.6*1000000</f>
        <v>0</v>
      </c>
      <c r="K8" s="33"/>
      <c r="L8" s="33"/>
      <c r="M8" s="33"/>
      <c r="N8" s="33">
        <f>C30*'E Balans VL '!Y18/100/3.6*1000000</f>
        <v>35.283351405916726</v>
      </c>
      <c r="O8" s="33"/>
      <c r="P8" s="33"/>
      <c r="R8" s="32"/>
    </row>
    <row r="9" spans="1:18">
      <c r="A9" s="6" t="s">
        <v>33</v>
      </c>
      <c r="B9" s="37">
        <f t="shared" si="0"/>
        <v>2696.5675247999998</v>
      </c>
      <c r="C9" s="33"/>
      <c r="D9" s="37">
        <f>IF( ISERROR(IND_andere_gas_kWh/1000),0,IND_andere_gas_kWh/1000)*0.902</f>
        <v>2229.7546408037997</v>
      </c>
      <c r="E9" s="33">
        <f>C31*'E Balans VL '!I19/100/3.6*1000000</f>
        <v>688.10302077984136</v>
      </c>
      <c r="F9" s="33">
        <f>C31*'E Balans VL '!L19/100/3.6*1000000+C31*'E Balans VL '!N19/100/3.6*1000000</f>
        <v>2321.5419569580408</v>
      </c>
      <c r="G9" s="34"/>
      <c r="H9" s="33"/>
      <c r="I9" s="33"/>
      <c r="J9" s="40">
        <f>C31*'E Balans VL '!D19/100/3.6*1000000+C31*'E Balans VL '!E19/100/3.6*1000000</f>
        <v>0</v>
      </c>
      <c r="K9" s="33"/>
      <c r="L9" s="33"/>
      <c r="M9" s="33"/>
      <c r="N9" s="33">
        <f>C31*'E Balans VL '!Y19/100/3.6*1000000</f>
        <v>843.30901279799377</v>
      </c>
      <c r="O9" s="33"/>
      <c r="P9" s="33"/>
      <c r="R9" s="32"/>
    </row>
    <row r="10" spans="1:18">
      <c r="A10" s="6" t="s">
        <v>41</v>
      </c>
      <c r="B10" s="37">
        <f t="shared" si="0"/>
        <v>598.08963440000002</v>
      </c>
      <c r="C10" s="33"/>
      <c r="D10" s="37">
        <f>IF( ISERROR(IND_voed_gas_kWh/1000),0,IND_voed_gas_kWh/1000)*0.902</f>
        <v>701.18763759594003</v>
      </c>
      <c r="E10" s="33">
        <f>C32*'E Balans VL '!I20/100/3.6*1000000</f>
        <v>15.204259750815623</v>
      </c>
      <c r="F10" s="33">
        <f>C32*'E Balans VL '!L20/100/3.6*1000000+C32*'E Balans VL '!N20/100/3.6*1000000</f>
        <v>135.33870616503586</v>
      </c>
      <c r="G10" s="34"/>
      <c r="H10" s="33"/>
      <c r="I10" s="33"/>
      <c r="J10" s="40">
        <f>C32*'E Balans VL '!D20/100/3.6*1000000+C32*'E Balans VL '!E20/100/3.6*1000000</f>
        <v>0</v>
      </c>
      <c r="K10" s="33"/>
      <c r="L10" s="33"/>
      <c r="M10" s="33"/>
      <c r="N10" s="33">
        <f>C32*'E Balans VL '!Y20/100/3.6*1000000</f>
        <v>224.29982475721215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35.774490700000001</v>
      </c>
      <c r="C13" s="33"/>
      <c r="D13" s="37">
        <f>IF( ISERROR(IND_papier_gas_kWh/1000),0,IND_papier_gas_kWh/1000)*0.902</f>
        <v>0</v>
      </c>
      <c r="E13" s="33">
        <f>C35*'E Balans VL '!I23/100/3.6*1000000</f>
        <v>0.15342638317675714</v>
      </c>
      <c r="F13" s="33">
        <f>C35*'E Balans VL '!L23/100/3.6*1000000+C35*'E Balans VL '!N23/100/3.6*1000000</f>
        <v>0.89912398824151574</v>
      </c>
      <c r="G13" s="34"/>
      <c r="H13" s="33"/>
      <c r="I13" s="33"/>
      <c r="J13" s="40">
        <f>C35*'E Balans VL '!D23/100/3.6*1000000+C35*'E Balans VL '!E23/100/3.6*1000000</f>
        <v>2.3949059373550035</v>
      </c>
      <c r="K13" s="33"/>
      <c r="L13" s="33"/>
      <c r="M13" s="33"/>
      <c r="N13" s="33">
        <f>C35*'E Balans VL '!Y23/100/3.6*1000000</f>
        <v>65.118080572469665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35266.926170999999</v>
      </c>
      <c r="C15" s="33"/>
      <c r="D15" s="37">
        <f>IF( ISERROR(IND_rest_gas_kWh/1000),0,IND_rest_gas_kWh/1000)*0.902</f>
        <v>173865.47149927999</v>
      </c>
      <c r="E15" s="33">
        <f>C37*'E Balans VL '!I15/100/3.6*1000000</f>
        <v>1914.0380034412069</v>
      </c>
      <c r="F15" s="33">
        <f>C37*'E Balans VL '!L15/100/3.6*1000000+C37*'E Balans VL '!N15/100/3.6*1000000</f>
        <v>7686.5592260570256</v>
      </c>
      <c r="G15" s="34"/>
      <c r="H15" s="33"/>
      <c r="I15" s="33"/>
      <c r="J15" s="40">
        <f>C37*'E Balans VL '!D15/100/3.6*1000000+C37*'E Balans VL '!E15/100/3.6*1000000</f>
        <v>285.91304559879137</v>
      </c>
      <c r="K15" s="33"/>
      <c r="L15" s="33"/>
      <c r="M15" s="33"/>
      <c r="N15" s="33">
        <f>C37*'E Balans VL '!Y15/100/3.6*1000000</f>
        <v>7101.6195466514464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39301.344848349996</v>
      </c>
      <c r="C18" s="21">
        <f>C5+C16</f>
        <v>0</v>
      </c>
      <c r="D18" s="21">
        <f>MAX((D5+D16),0)</f>
        <v>184093.44472335232</v>
      </c>
      <c r="E18" s="21">
        <f>MAX((E5+E16),0)</f>
        <v>2642.830293307818</v>
      </c>
      <c r="F18" s="21">
        <f>MAX((F5+F16),0)</f>
        <v>10451.747327251616</v>
      </c>
      <c r="G18" s="21"/>
      <c r="H18" s="21"/>
      <c r="I18" s="21"/>
      <c r="J18" s="21">
        <f>MAX((J5+J16),0)</f>
        <v>288.30795153614639</v>
      </c>
      <c r="K18" s="21"/>
      <c r="L18" s="21">
        <f>MAX((L5+L16),0)</f>
        <v>0</v>
      </c>
      <c r="M18" s="21"/>
      <c r="N18" s="21">
        <f>MAX((N5+N16),0)</f>
        <v>8269.6298161850391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0.1822473824054377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7162.5672236252203</v>
      </c>
      <c r="C22" s="23">
        <f ca="1">C18*C20</f>
        <v>0</v>
      </c>
      <c r="D22" s="23">
        <f>D18*D20</f>
        <v>37186.875834117171</v>
      </c>
      <c r="E22" s="23">
        <f>E18*E20</f>
        <v>599.92247658087467</v>
      </c>
      <c r="F22" s="23">
        <f>F18*F20</f>
        <v>2790.6165363761816</v>
      </c>
      <c r="G22" s="23"/>
      <c r="H22" s="23"/>
      <c r="I22" s="23"/>
      <c r="J22" s="23">
        <f>J18*J20</f>
        <v>102.06101484379582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703.98702745000003</v>
      </c>
      <c r="C30" s="39">
        <f>IF(ISERROR(B30*3.6/1000000/'E Balans VL '!Z18*100),0,B30*3.6/1000000/'E Balans VL '!Z18*100)</f>
        <v>0.14915975803257286</v>
      </c>
      <c r="D30" s="237" t="s">
        <v>660</v>
      </c>
    </row>
    <row r="31" spans="1:18">
      <c r="A31" s="6" t="s">
        <v>33</v>
      </c>
      <c r="B31" s="37">
        <f>IF( ISERROR(IND_ander_ele_kWh/1000),0,IND_ander_ele_kWh/1000)</f>
        <v>2696.5675247999998</v>
      </c>
      <c r="C31" s="39">
        <f>IF(ISERROR(B31*3.6/1000000/'E Balans VL '!Z19*100),0,B31*3.6/1000000/'E Balans VL '!Z19*100)</f>
        <v>0.11350465012069798</v>
      </c>
      <c r="D31" s="237" t="s">
        <v>660</v>
      </c>
    </row>
    <row r="32" spans="1:18">
      <c r="A32" s="171" t="s">
        <v>41</v>
      </c>
      <c r="B32" s="37">
        <f>IF( ISERROR(IND_voed_ele_kWh/1000),0,IND_voed_ele_kWh/1000)</f>
        <v>598.08963440000002</v>
      </c>
      <c r="C32" s="39">
        <f>IF(ISERROR(B32*3.6/1000000/'E Balans VL '!Z20*100),0,B32*3.6/1000000/'E Balans VL '!Z20*100)</f>
        <v>9.9917640345327088E-2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35.774490700000001</v>
      </c>
      <c r="C35" s="39">
        <f>IF(ISERROR(B35*3.6/1000000/'E Balans VL '!Z22*100),0,B35*3.6/1000000/'E Balans VL '!Z22*100)</f>
        <v>4.5346096274835298E-3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35266.926170999999</v>
      </c>
      <c r="C37" s="39">
        <f>IF(ISERROR(B37*3.6/1000000/'E Balans VL '!Z15*100),0,B37*3.6/1000000/'E Balans VL '!Z15*100)</f>
        <v>0.28472355095820112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307.219462927</v>
      </c>
      <c r="C5" s="17">
        <f>'Eigen informatie GS &amp; warmtenet'!B60</f>
        <v>0</v>
      </c>
      <c r="D5" s="30">
        <f>IF(ISERROR(SUM(LB_lb_gas_kWh,LB_rest_gas_kWh,onbekend_gas_kWh)/1000),0,SUM(LB_lb_gas_kWh,LB_rest_gas_kWh,onbekend_gas_kWh)/1000)*0.902</f>
        <v>3959.7549509458599</v>
      </c>
      <c r="E5" s="17">
        <f>B17*'E Balans VL '!I25/3.6*1000000/100</f>
        <v>7.9220103625272813</v>
      </c>
      <c r="F5" s="17">
        <f>B17*('E Balans VL '!L25/3.6*1000000+'E Balans VL '!N25/3.6*1000000)/100</f>
        <v>1122.9456441027914</v>
      </c>
      <c r="G5" s="18"/>
      <c r="H5" s="17"/>
      <c r="I5" s="17"/>
      <c r="J5" s="17">
        <f>('E Balans VL '!D25+'E Balans VL '!E25)/3.6*1000000*landbouw!B17/100</f>
        <v>44.22830108445882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307.219462927</v>
      </c>
      <c r="C8" s="21">
        <f>C5+C6</f>
        <v>0</v>
      </c>
      <c r="D8" s="21">
        <f>MAX((D5+D6),0)</f>
        <v>3959.7549509458599</v>
      </c>
      <c r="E8" s="21">
        <f>MAX((E5+E6),0)</f>
        <v>7.9220103625272813</v>
      </c>
      <c r="F8" s="21">
        <f>MAX((F5+F6),0)</f>
        <v>1122.9456441027914</v>
      </c>
      <c r="G8" s="21"/>
      <c r="H8" s="21"/>
      <c r="I8" s="21"/>
      <c r="J8" s="21">
        <f>MAX((J5+J6),0)</f>
        <v>44.22830108445882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0.1822473824054377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55.989942942450156</v>
      </c>
      <c r="C12" s="23">
        <f ca="1">C8*C10</f>
        <v>0</v>
      </c>
      <c r="D12" s="23">
        <f>D8*D10</f>
        <v>799.87050009106372</v>
      </c>
      <c r="E12" s="23">
        <f>E8*E10</f>
        <v>1.798296352293693</v>
      </c>
      <c r="F12" s="23">
        <f>F8*F10</f>
        <v>299.82648697544533</v>
      </c>
      <c r="G12" s="23"/>
      <c r="H12" s="23"/>
      <c r="I12" s="23"/>
      <c r="J12" s="23">
        <f>J8*J10</f>
        <v>15.656818583898422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4.331997924879942E-2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82.577096334763965</v>
      </c>
      <c r="C26" s="247">
        <f>B26*'GWP N2O_CH4'!B5</f>
        <v>1734.1190230300433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11.852151898866596</v>
      </c>
      <c r="C27" s="247">
        <f>B27*'GWP N2O_CH4'!B5</f>
        <v>248.89518987619851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1.0678937873511067</v>
      </c>
      <c r="C28" s="247">
        <f>B28*'GWP N2O_CH4'!B4</f>
        <v>331.04707407884308</v>
      </c>
      <c r="D28" s="50"/>
    </row>
    <row r="29" spans="1:4">
      <c r="A29" s="41" t="s">
        <v>277</v>
      </c>
      <c r="B29" s="247">
        <f>B34*'ha_N2O bodem landbouw'!B4</f>
        <v>4.3389658918630314</v>
      </c>
      <c r="C29" s="247">
        <f>B29*'GWP N2O_CH4'!B4</f>
        <v>1345.0794264775398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9.7650311193462572E-4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2.1700962538834609E-4</v>
      </c>
      <c r="C5" s="463" t="s">
        <v>211</v>
      </c>
      <c r="D5" s="448">
        <f>SUM(D6:D11)</f>
        <v>4.9782723175523463E-4</v>
      </c>
      <c r="E5" s="448">
        <f>SUM(E6:E11)</f>
        <v>2.0176389559839795E-3</v>
      </c>
      <c r="F5" s="461" t="s">
        <v>211</v>
      </c>
      <c r="G5" s="448">
        <f>SUM(G6:G11)</f>
        <v>0.89318779319069275</v>
      </c>
      <c r="H5" s="448">
        <f>SUM(H6:H11)</f>
        <v>0.1349259242699786</v>
      </c>
      <c r="I5" s="463" t="s">
        <v>211</v>
      </c>
      <c r="J5" s="463" t="s">
        <v>211</v>
      </c>
      <c r="K5" s="463" t="s">
        <v>211</v>
      </c>
      <c r="L5" s="463" t="s">
        <v>211</v>
      </c>
      <c r="M5" s="448">
        <f>SUM(M6:M11)</f>
        <v>3.2181190241648436E-2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1.2657502757527648E-4</v>
      </c>
      <c r="C6" s="449"/>
      <c r="D6" s="962">
        <f>vkm_2011_GW_PW*SUMIFS(TableVerdeelsleutelVkm[CNG],TableVerdeelsleutelVkm[Voertuigtype],"Lichte voertuigen")*SUMIFS(TableECFTransport[EnergieConsumptieFactor (PJ per km)],TableECFTransport[Index],CONCATENATE($A6,"_CNG_CNG"))</f>
        <v>2.5150679694790684E-4</v>
      </c>
      <c r="E6" s="962">
        <f>vkm_2011_GW_PW*SUMIFS(TableVerdeelsleutelVkm[LPG],TableVerdeelsleutelVkm[Voertuigtype],"Lichte voertuigen")*SUMIFS(TableECFTransport[EnergieConsumptieFactor (PJ per km)],TableECFTransport[Index],CONCATENATE($A6,"_LPG_LPG"))</f>
        <v>9.8976940441804066E-4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0.23533320340202282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6.8090456348507064E-2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9.454961423330549E-3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0.27869230443582688</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9.0029518258686524E-5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8.7811680923481506E-3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4.0473077404409912E-5</v>
      </c>
      <c r="C8" s="449"/>
      <c r="D8" s="451">
        <f>vkm_2011_NGW_PW*SUMIFS(TableVerdeelsleutelVkm[CNG],TableVerdeelsleutelVkm[Voertuigtype],"Lichte voertuigen")*SUMIFS(TableECFTransport[EnergieConsumptieFactor (PJ per km)],TableECFTransport[Index],CONCATENATE($A8,"_CNG_CNG"))</f>
        <v>1.4239574735562451E-4</v>
      </c>
      <c r="E8" s="451">
        <f>vkm_2011_NGW_PW*SUMIFS(TableVerdeelsleutelVkm[LPG],TableVerdeelsleutelVkm[Voertuigtype],"Lichte voertuigen")*SUMIFS(TableECFTransport[EnergieConsumptieFactor (PJ per km)],TableECFTransport[Index],CONCATENATE($A8,"_LPG_LPG"))</f>
        <v>5.1825093846646594E-4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0.11506627690384434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3.7380968828925491E-2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4.745623273213392E-3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7.5025353798142153E-2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2.2920881733211358E-5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2.3638946472287299E-3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4.9961520408659686E-5</v>
      </c>
      <c r="C10" s="449"/>
      <c r="D10" s="451">
        <f>vkm_2011_SW_PW*SUMIFS(TableVerdeelsleutelVkm[CNG],TableVerdeelsleutelVkm[Voertuigtype],"Lichte voertuigen")*SUMIFS(TableECFTransport[EnergieConsumptieFactor (PJ per km)],TableECFTransport[Index],CONCATENATE($A10,"_CNG_CNG"))</f>
        <v>1.0392468745170327E-4</v>
      </c>
      <c r="E10" s="451">
        <f>vkm_2011_SW_PW*SUMIFS(TableVerdeelsleutelVkm[LPG],TableVerdeelsleutelVkm[Voertuigtype],"Lichte voertuigen")*SUMIFS(TableECFTransport[EnergieConsumptieFactor (PJ per km)],TableECFTransport[Index],CONCATENATE($A10,"_LPG_LPG"))</f>
        <v>5.0961861309947298E-4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0.10854291334102083</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2.9313520328513074E-2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4.2981764701515608E-3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8.0527741309835726E-2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2.8028364041072132E-5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2.5373663353760508E-3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60.280451496762801</v>
      </c>
      <c r="C14" s="21"/>
      <c r="D14" s="21">
        <f t="shared" ref="D14:M14" si="0">((D5)*10^9/3600)+D12</f>
        <v>138.28534215423184</v>
      </c>
      <c r="E14" s="21">
        <f t="shared" si="0"/>
        <v>560.45526555110541</v>
      </c>
      <c r="F14" s="21"/>
      <c r="G14" s="21">
        <f t="shared" si="0"/>
        <v>248107.72033074801</v>
      </c>
      <c r="H14" s="21">
        <f t="shared" si="0"/>
        <v>37479.423408327384</v>
      </c>
      <c r="I14" s="21"/>
      <c r="J14" s="21"/>
      <c r="K14" s="21"/>
      <c r="L14" s="21"/>
      <c r="M14" s="21">
        <f t="shared" si="0"/>
        <v>8939.2195115690101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0.1822473824054377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10.98595449550297</v>
      </c>
      <c r="C18" s="23"/>
      <c r="D18" s="23">
        <f t="shared" ref="D18:M18" si="1">D14*D16</f>
        <v>27.933639115154833</v>
      </c>
      <c r="E18" s="23">
        <f t="shared" si="1"/>
        <v>127.22334528010093</v>
      </c>
      <c r="F18" s="23"/>
      <c r="G18" s="23">
        <f t="shared" si="1"/>
        <v>66244.761328309716</v>
      </c>
      <c r="H18" s="23">
        <f t="shared" si="1"/>
        <v>9332.3764286735186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7.5755517745785209E-3</v>
      </c>
      <c r="H50" s="321">
        <f t="shared" si="2"/>
        <v>0</v>
      </c>
      <c r="I50" s="321">
        <f t="shared" si="2"/>
        <v>0</v>
      </c>
      <c r="J50" s="321">
        <f t="shared" si="2"/>
        <v>0</v>
      </c>
      <c r="K50" s="321">
        <f t="shared" si="2"/>
        <v>0</v>
      </c>
      <c r="L50" s="321">
        <f t="shared" si="2"/>
        <v>0</v>
      </c>
      <c r="M50" s="321">
        <f t="shared" si="2"/>
        <v>2.3497666815868796E-4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7.5755517745785209E-3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2.3497666815868796E-4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2104.3199373829225</v>
      </c>
      <c r="H54" s="21">
        <f t="shared" si="3"/>
        <v>0</v>
      </c>
      <c r="I54" s="21">
        <f t="shared" si="3"/>
        <v>0</v>
      </c>
      <c r="J54" s="21">
        <f t="shared" si="3"/>
        <v>0</v>
      </c>
      <c r="K54" s="21">
        <f t="shared" si="3"/>
        <v>0</v>
      </c>
      <c r="L54" s="21">
        <f t="shared" si="3"/>
        <v>0</v>
      </c>
      <c r="M54" s="21">
        <f t="shared" si="3"/>
        <v>65.271296710746654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0.1822473824054377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561.85342328124034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7054.9607003193541</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16449.581325516239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23504.542025835595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58605.018922040006</v>
      </c>
      <c r="D10" s="718">
        <f ca="1">tertiair!C16</f>
        <v>0</v>
      </c>
      <c r="E10" s="718">
        <f ca="1">tertiair!D16</f>
        <v>43604.751093565203</v>
      </c>
      <c r="F10" s="718">
        <f>tertiair!E16</f>
        <v>1153.0982584955634</v>
      </c>
      <c r="G10" s="718">
        <f ca="1">tertiair!F16</f>
        <v>13581.329906541787</v>
      </c>
      <c r="H10" s="718">
        <f>tertiair!G16</f>
        <v>0</v>
      </c>
      <c r="I10" s="718">
        <f>tertiair!H16</f>
        <v>0</v>
      </c>
      <c r="J10" s="718">
        <f>tertiair!I16</f>
        <v>0</v>
      </c>
      <c r="K10" s="718">
        <f>tertiair!J16</f>
        <v>0</v>
      </c>
      <c r="L10" s="718">
        <f>tertiair!K16</f>
        <v>0</v>
      </c>
      <c r="M10" s="718">
        <f ca="1">tertiair!L16</f>
        <v>0</v>
      </c>
      <c r="N10" s="718">
        <f>tertiair!M16</f>
        <v>0</v>
      </c>
      <c r="O10" s="718">
        <f ca="1">tertiair!N16</f>
        <v>3516.911110015441</v>
      </c>
      <c r="P10" s="718">
        <f>tertiair!O16</f>
        <v>1.5633333333333335</v>
      </c>
      <c r="Q10" s="719">
        <f>tertiair!P16</f>
        <v>38.133333333333333</v>
      </c>
      <c r="R10" s="721">
        <f ca="1">SUM(C10:Q10)</f>
        <v>120500.80595732466</v>
      </c>
      <c r="S10" s="67"/>
    </row>
    <row r="11" spans="1:19" s="474" customFormat="1">
      <c r="A11" s="870" t="s">
        <v>225</v>
      </c>
      <c r="B11" s="875"/>
      <c r="C11" s="718">
        <f>huishoudens!B8</f>
        <v>35768.792273439496</v>
      </c>
      <c r="D11" s="718">
        <f>huishoudens!C8</f>
        <v>0</v>
      </c>
      <c r="E11" s="718">
        <f>huishoudens!D8</f>
        <v>112863.73592208001</v>
      </c>
      <c r="F11" s="718">
        <f>huishoudens!E8</f>
        <v>1730.8706675523449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12744.632612164072</v>
      </c>
      <c r="P11" s="718">
        <f>huishoudens!O8</f>
        <v>171.96666666666667</v>
      </c>
      <c r="Q11" s="719">
        <f>huishoudens!P8</f>
        <v>1468.1333333333332</v>
      </c>
      <c r="R11" s="721">
        <f>SUM(C11:Q11)</f>
        <v>164748.13147523595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39301.344848349996</v>
      </c>
      <c r="D13" s="718">
        <f>industrie!C18</f>
        <v>0</v>
      </c>
      <c r="E13" s="718">
        <f>industrie!D18</f>
        <v>184093.44472335232</v>
      </c>
      <c r="F13" s="718">
        <f>industrie!E18</f>
        <v>2642.830293307818</v>
      </c>
      <c r="G13" s="718">
        <f>industrie!F18</f>
        <v>10451.747327251616</v>
      </c>
      <c r="H13" s="718">
        <f>industrie!G18</f>
        <v>0</v>
      </c>
      <c r="I13" s="718">
        <f>industrie!H18</f>
        <v>0</v>
      </c>
      <c r="J13" s="718">
        <f>industrie!I18</f>
        <v>0</v>
      </c>
      <c r="K13" s="718">
        <f>industrie!J18</f>
        <v>288.30795153614639</v>
      </c>
      <c r="L13" s="718">
        <f>industrie!K18</f>
        <v>0</v>
      </c>
      <c r="M13" s="718">
        <f>industrie!L18</f>
        <v>0</v>
      </c>
      <c r="N13" s="718">
        <f>industrie!M18</f>
        <v>0</v>
      </c>
      <c r="O13" s="718">
        <f>industrie!N18</f>
        <v>8269.6298161850391</v>
      </c>
      <c r="P13" s="718">
        <f>industrie!O18</f>
        <v>0</v>
      </c>
      <c r="Q13" s="719">
        <f>industrie!P18</f>
        <v>0</v>
      </c>
      <c r="R13" s="721">
        <f>SUM(C13:Q13)</f>
        <v>245047.30495998292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133675.15604382951</v>
      </c>
      <c r="D15" s="723">
        <f t="shared" ref="D15:Q15" ca="1" si="0">SUM(D9:D14)</f>
        <v>0</v>
      </c>
      <c r="E15" s="723">
        <f t="shared" ca="1" si="0"/>
        <v>340561.93173899758</v>
      </c>
      <c r="F15" s="723">
        <f t="shared" si="0"/>
        <v>5526.7992193557257</v>
      </c>
      <c r="G15" s="723">
        <f t="shared" ca="1" si="0"/>
        <v>24033.077233793403</v>
      </c>
      <c r="H15" s="723">
        <f t="shared" si="0"/>
        <v>0</v>
      </c>
      <c r="I15" s="723">
        <f t="shared" si="0"/>
        <v>0</v>
      </c>
      <c r="J15" s="723">
        <f t="shared" si="0"/>
        <v>0</v>
      </c>
      <c r="K15" s="723">
        <f t="shared" si="0"/>
        <v>288.30795153614639</v>
      </c>
      <c r="L15" s="723">
        <f t="shared" si="0"/>
        <v>0</v>
      </c>
      <c r="M15" s="723">
        <f t="shared" ca="1" si="0"/>
        <v>0</v>
      </c>
      <c r="N15" s="723">
        <f t="shared" si="0"/>
        <v>0</v>
      </c>
      <c r="O15" s="723">
        <f t="shared" ca="1" si="0"/>
        <v>24531.17353836455</v>
      </c>
      <c r="P15" s="723">
        <f t="shared" si="0"/>
        <v>173.53</v>
      </c>
      <c r="Q15" s="724">
        <f t="shared" si="0"/>
        <v>1506.2666666666667</v>
      </c>
      <c r="R15" s="725">
        <f ca="1">SUM(R9:R14)</f>
        <v>530296.24239254347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2104.3199373829225</v>
      </c>
      <c r="I18" s="718">
        <f>transport!H54</f>
        <v>0</v>
      </c>
      <c r="J18" s="718">
        <f>transport!I54</f>
        <v>0</v>
      </c>
      <c r="K18" s="718">
        <f>transport!J54</f>
        <v>0</v>
      </c>
      <c r="L18" s="718">
        <f>transport!K54</f>
        <v>0</v>
      </c>
      <c r="M18" s="718">
        <f>transport!L54</f>
        <v>0</v>
      </c>
      <c r="N18" s="718">
        <f>transport!M54</f>
        <v>65.271296710746654</v>
      </c>
      <c r="O18" s="718">
        <f>transport!N54</f>
        <v>0</v>
      </c>
      <c r="P18" s="718">
        <f>transport!O54</f>
        <v>0</v>
      </c>
      <c r="Q18" s="719">
        <f>transport!P54</f>
        <v>0</v>
      </c>
      <c r="R18" s="721">
        <f>SUM(C18:Q18)</f>
        <v>2169.5912340936693</v>
      </c>
      <c r="S18" s="67"/>
    </row>
    <row r="19" spans="1:19" s="474" customFormat="1" ht="15" thickBot="1">
      <c r="A19" s="870" t="s">
        <v>307</v>
      </c>
      <c r="B19" s="875"/>
      <c r="C19" s="727">
        <f>transport!B14</f>
        <v>60.280451496762801</v>
      </c>
      <c r="D19" s="727">
        <f>transport!C14</f>
        <v>0</v>
      </c>
      <c r="E19" s="727">
        <f>transport!D14</f>
        <v>138.28534215423184</v>
      </c>
      <c r="F19" s="727">
        <f>transport!E14</f>
        <v>560.45526555110541</v>
      </c>
      <c r="G19" s="727">
        <f>transport!F14</f>
        <v>0</v>
      </c>
      <c r="H19" s="727">
        <f>transport!G14</f>
        <v>248107.72033074801</v>
      </c>
      <c r="I19" s="727">
        <f>transport!H14</f>
        <v>37479.423408327384</v>
      </c>
      <c r="J19" s="727">
        <f>transport!I14</f>
        <v>0</v>
      </c>
      <c r="K19" s="727">
        <f>transport!J14</f>
        <v>0</v>
      </c>
      <c r="L19" s="727">
        <f>transport!K14</f>
        <v>0</v>
      </c>
      <c r="M19" s="727">
        <f>transport!L14</f>
        <v>0</v>
      </c>
      <c r="N19" s="727">
        <f>transport!M14</f>
        <v>8939.2195115690101</v>
      </c>
      <c r="O19" s="727">
        <f>transport!N14</f>
        <v>0</v>
      </c>
      <c r="P19" s="727">
        <f>transport!O14</f>
        <v>0</v>
      </c>
      <c r="Q19" s="728">
        <f>transport!P14</f>
        <v>0</v>
      </c>
      <c r="R19" s="729">
        <f>SUM(C19:Q19)</f>
        <v>295285.3843098465</v>
      </c>
      <c r="S19" s="67"/>
    </row>
    <row r="20" spans="1:19" s="474" customFormat="1" ht="15.75" thickBot="1">
      <c r="A20" s="730" t="s">
        <v>230</v>
      </c>
      <c r="B20" s="878"/>
      <c r="C20" s="873">
        <f>SUM(C17:C19)</f>
        <v>60.280451496762801</v>
      </c>
      <c r="D20" s="731">
        <f t="shared" ref="D20:R20" si="1">SUM(D17:D19)</f>
        <v>0</v>
      </c>
      <c r="E20" s="731">
        <f t="shared" si="1"/>
        <v>138.28534215423184</v>
      </c>
      <c r="F20" s="731">
        <f t="shared" si="1"/>
        <v>560.45526555110541</v>
      </c>
      <c r="G20" s="731">
        <f t="shared" si="1"/>
        <v>0</v>
      </c>
      <c r="H20" s="731">
        <f t="shared" si="1"/>
        <v>250212.04026813092</v>
      </c>
      <c r="I20" s="731">
        <f t="shared" si="1"/>
        <v>37479.423408327384</v>
      </c>
      <c r="J20" s="731">
        <f t="shared" si="1"/>
        <v>0</v>
      </c>
      <c r="K20" s="731">
        <f t="shared" si="1"/>
        <v>0</v>
      </c>
      <c r="L20" s="731">
        <f t="shared" si="1"/>
        <v>0</v>
      </c>
      <c r="M20" s="731">
        <f t="shared" si="1"/>
        <v>0</v>
      </c>
      <c r="N20" s="731">
        <f t="shared" si="1"/>
        <v>9004.4908082797574</v>
      </c>
      <c r="O20" s="731">
        <f t="shared" si="1"/>
        <v>0</v>
      </c>
      <c r="P20" s="731">
        <f t="shared" si="1"/>
        <v>0</v>
      </c>
      <c r="Q20" s="732">
        <f t="shared" si="1"/>
        <v>0</v>
      </c>
      <c r="R20" s="733">
        <f t="shared" si="1"/>
        <v>297454.97554394015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307.219462927</v>
      </c>
      <c r="D22" s="727">
        <f>+landbouw!C8</f>
        <v>0</v>
      </c>
      <c r="E22" s="727">
        <f>+landbouw!D8</f>
        <v>3959.7549509458599</v>
      </c>
      <c r="F22" s="727">
        <f>+landbouw!E8</f>
        <v>7.9220103625272813</v>
      </c>
      <c r="G22" s="727">
        <f>+landbouw!F8</f>
        <v>1122.9456441027914</v>
      </c>
      <c r="H22" s="727">
        <f>+landbouw!G8</f>
        <v>0</v>
      </c>
      <c r="I22" s="727">
        <f>+landbouw!H8</f>
        <v>0</v>
      </c>
      <c r="J22" s="727">
        <f>+landbouw!I8</f>
        <v>0</v>
      </c>
      <c r="K22" s="727">
        <f>+landbouw!J8</f>
        <v>44.22830108445882</v>
      </c>
      <c r="L22" s="727">
        <f>+landbouw!K8</f>
        <v>0</v>
      </c>
      <c r="M22" s="727">
        <f>+landbouw!L8</f>
        <v>0</v>
      </c>
      <c r="N22" s="727">
        <f>+landbouw!M8</f>
        <v>0</v>
      </c>
      <c r="O22" s="727">
        <f>+landbouw!N8</f>
        <v>0</v>
      </c>
      <c r="P22" s="727">
        <f>+landbouw!O8</f>
        <v>0</v>
      </c>
      <c r="Q22" s="728">
        <f>+landbouw!P8</f>
        <v>0</v>
      </c>
      <c r="R22" s="729">
        <f>SUM(C22:Q22)</f>
        <v>5442.0703694226377</v>
      </c>
      <c r="S22" s="67"/>
    </row>
    <row r="23" spans="1:19" s="474" customFormat="1" ht="17.25" thickTop="1" thickBot="1">
      <c r="A23" s="734" t="s">
        <v>116</v>
      </c>
      <c r="B23" s="864"/>
      <c r="C23" s="735">
        <f ca="1">C20+C15+C22</f>
        <v>134042.65595825328</v>
      </c>
      <c r="D23" s="735">
        <f t="shared" ref="D23:Q23" ca="1" si="2">D20+D15+D22</f>
        <v>0</v>
      </c>
      <c r="E23" s="735">
        <f t="shared" ca="1" si="2"/>
        <v>344659.97203209763</v>
      </c>
      <c r="F23" s="735">
        <f t="shared" si="2"/>
        <v>6095.1764952693584</v>
      </c>
      <c r="G23" s="735">
        <f t="shared" ca="1" si="2"/>
        <v>25156.022877896194</v>
      </c>
      <c r="H23" s="735">
        <f t="shared" si="2"/>
        <v>250212.04026813092</v>
      </c>
      <c r="I23" s="735">
        <f t="shared" si="2"/>
        <v>37479.423408327384</v>
      </c>
      <c r="J23" s="735">
        <f t="shared" si="2"/>
        <v>0</v>
      </c>
      <c r="K23" s="735">
        <f t="shared" si="2"/>
        <v>332.53625262060518</v>
      </c>
      <c r="L23" s="735">
        <f t="shared" si="2"/>
        <v>0</v>
      </c>
      <c r="M23" s="735">
        <f t="shared" ca="1" si="2"/>
        <v>0</v>
      </c>
      <c r="N23" s="735">
        <f t="shared" si="2"/>
        <v>9004.4908082797574</v>
      </c>
      <c r="O23" s="735">
        <f t="shared" ca="1" si="2"/>
        <v>24531.17353836455</v>
      </c>
      <c r="P23" s="735">
        <f t="shared" si="2"/>
        <v>173.53</v>
      </c>
      <c r="Q23" s="736">
        <f t="shared" si="2"/>
        <v>1506.2666666666667</v>
      </c>
      <c r="R23" s="737">
        <f ca="1">R20+R15+R22</f>
        <v>833193.28830590635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10680.611294362938</v>
      </c>
      <c r="D36" s="718">
        <f ca="1">tertiair!C20</f>
        <v>0</v>
      </c>
      <c r="E36" s="718">
        <f ca="1">tertiair!D20</f>
        <v>8808.159720900172</v>
      </c>
      <c r="F36" s="718">
        <f>tertiair!E20</f>
        <v>261.7533046784929</v>
      </c>
      <c r="G36" s="718">
        <f ca="1">tertiair!F20</f>
        <v>3626.2150850466574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23376.739404988261</v>
      </c>
    </row>
    <row r="37" spans="1:18">
      <c r="A37" s="885" t="s">
        <v>225</v>
      </c>
      <c r="B37" s="892"/>
      <c r="C37" s="718">
        <f ca="1">huishoudens!B12</f>
        <v>6518.7687636381934</v>
      </c>
      <c r="D37" s="718">
        <f ca="1">huishoudens!C12</f>
        <v>0</v>
      </c>
      <c r="E37" s="718">
        <f>huishoudens!D12</f>
        <v>22798.474656260165</v>
      </c>
      <c r="F37" s="718">
        <f>huishoudens!E12</f>
        <v>392.90764153438232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29710.151061432738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7162.5672236252203</v>
      </c>
      <c r="D39" s="718">
        <f ca="1">industrie!C22</f>
        <v>0</v>
      </c>
      <c r="E39" s="718">
        <f>industrie!D22</f>
        <v>37186.875834117171</v>
      </c>
      <c r="F39" s="718">
        <f>industrie!E22</f>
        <v>599.92247658087467</v>
      </c>
      <c r="G39" s="718">
        <f>industrie!F22</f>
        <v>2790.6165363761816</v>
      </c>
      <c r="H39" s="718">
        <f>industrie!G22</f>
        <v>0</v>
      </c>
      <c r="I39" s="718">
        <f>industrie!H22</f>
        <v>0</v>
      </c>
      <c r="J39" s="718">
        <f>industrie!I22</f>
        <v>0</v>
      </c>
      <c r="K39" s="718">
        <f>industrie!J22</f>
        <v>102.06101484379582</v>
      </c>
      <c r="L39" s="718">
        <f>industrie!K22</f>
        <v>0</v>
      </c>
      <c r="M39" s="718">
        <f>industrie!L22</f>
        <v>0</v>
      </c>
      <c r="N39" s="718">
        <f>industrie!M22</f>
        <v>0</v>
      </c>
      <c r="O39" s="718">
        <f>industrie!N22</f>
        <v>0</v>
      </c>
      <c r="P39" s="718">
        <f>industrie!O22</f>
        <v>0</v>
      </c>
      <c r="Q39" s="828">
        <f>industrie!P22</f>
        <v>0</v>
      </c>
      <c r="R39" s="918">
        <f ca="1">SUM(C39:Q39)</f>
        <v>47842.04308554325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24361.947281626351</v>
      </c>
      <c r="D41" s="763">
        <f t="shared" ref="D41:R41" ca="1" si="4">SUM(D35:D40)</f>
        <v>0</v>
      </c>
      <c r="E41" s="763">
        <f t="shared" ca="1" si="4"/>
        <v>68793.510211277506</v>
      </c>
      <c r="F41" s="763">
        <f t="shared" si="4"/>
        <v>1254.5834227937498</v>
      </c>
      <c r="G41" s="763">
        <f t="shared" ca="1" si="4"/>
        <v>6416.8316214228389</v>
      </c>
      <c r="H41" s="763">
        <f t="shared" si="4"/>
        <v>0</v>
      </c>
      <c r="I41" s="763">
        <f t="shared" si="4"/>
        <v>0</v>
      </c>
      <c r="J41" s="763">
        <f t="shared" si="4"/>
        <v>0</v>
      </c>
      <c r="K41" s="763">
        <f t="shared" si="4"/>
        <v>102.06101484379582</v>
      </c>
      <c r="L41" s="763">
        <f t="shared" si="4"/>
        <v>0</v>
      </c>
      <c r="M41" s="763">
        <f t="shared" ca="1" si="4"/>
        <v>0</v>
      </c>
      <c r="N41" s="763">
        <f t="shared" si="4"/>
        <v>0</v>
      </c>
      <c r="O41" s="763">
        <f t="shared" ca="1" si="4"/>
        <v>0</v>
      </c>
      <c r="P41" s="763">
        <f t="shared" si="4"/>
        <v>0</v>
      </c>
      <c r="Q41" s="764">
        <f t="shared" si="4"/>
        <v>0</v>
      </c>
      <c r="R41" s="765">
        <f t="shared" ca="1" si="4"/>
        <v>100928.93355196425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561.85342328124034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561.85342328124034</v>
      </c>
    </row>
    <row r="45" spans="1:18" ht="15" thickBot="1">
      <c r="A45" s="888" t="s">
        <v>307</v>
      </c>
      <c r="B45" s="898"/>
      <c r="C45" s="727">
        <f ca="1">transport!B18</f>
        <v>10.98595449550297</v>
      </c>
      <c r="D45" s="727">
        <f>transport!C18</f>
        <v>0</v>
      </c>
      <c r="E45" s="727">
        <f>transport!D18</f>
        <v>27.933639115154833</v>
      </c>
      <c r="F45" s="727">
        <f>transport!E18</f>
        <v>127.22334528010093</v>
      </c>
      <c r="G45" s="727">
        <f>transport!F18</f>
        <v>0</v>
      </c>
      <c r="H45" s="727">
        <f>transport!G18</f>
        <v>66244.761328309716</v>
      </c>
      <c r="I45" s="727">
        <f>transport!H18</f>
        <v>9332.3764286735186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75743.280695873997</v>
      </c>
    </row>
    <row r="46" spans="1:18" ht="15.75" thickBot="1">
      <c r="A46" s="886" t="s">
        <v>230</v>
      </c>
      <c r="B46" s="899"/>
      <c r="C46" s="763">
        <f t="shared" ref="C46:R46" ca="1" si="5">SUM(C43:C45)</f>
        <v>10.98595449550297</v>
      </c>
      <c r="D46" s="763">
        <f t="shared" ca="1" si="5"/>
        <v>0</v>
      </c>
      <c r="E46" s="763">
        <f t="shared" si="5"/>
        <v>27.933639115154833</v>
      </c>
      <c r="F46" s="763">
        <f t="shared" si="5"/>
        <v>127.22334528010093</v>
      </c>
      <c r="G46" s="763">
        <f t="shared" si="5"/>
        <v>0</v>
      </c>
      <c r="H46" s="763">
        <f t="shared" si="5"/>
        <v>66806.614751590954</v>
      </c>
      <c r="I46" s="763">
        <f t="shared" si="5"/>
        <v>9332.3764286735186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76305.134119155235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55.989942942450156</v>
      </c>
      <c r="D48" s="718">
        <f ca="1">+landbouw!C12</f>
        <v>0</v>
      </c>
      <c r="E48" s="718">
        <f>+landbouw!D12</f>
        <v>799.87050009106372</v>
      </c>
      <c r="F48" s="718">
        <f>+landbouw!E12</f>
        <v>1.798296352293693</v>
      </c>
      <c r="G48" s="718">
        <f>+landbouw!F12</f>
        <v>299.82648697544533</v>
      </c>
      <c r="H48" s="718">
        <f>+landbouw!G12</f>
        <v>0</v>
      </c>
      <c r="I48" s="718">
        <f>+landbouw!H12</f>
        <v>0</v>
      </c>
      <c r="J48" s="718">
        <f>+landbouw!I12</f>
        <v>0</v>
      </c>
      <c r="K48" s="718">
        <f>+landbouw!J12</f>
        <v>15.656818583898422</v>
      </c>
      <c r="L48" s="718">
        <f>+landbouw!K12</f>
        <v>0</v>
      </c>
      <c r="M48" s="718">
        <f>+landbouw!L12</f>
        <v>0</v>
      </c>
      <c r="N48" s="718">
        <f>+landbouw!M12</f>
        <v>0</v>
      </c>
      <c r="O48" s="718">
        <f>+landbouw!N12</f>
        <v>0</v>
      </c>
      <c r="P48" s="718">
        <f>+landbouw!O12</f>
        <v>0</v>
      </c>
      <c r="Q48" s="719">
        <f>+landbouw!P12</f>
        <v>0</v>
      </c>
      <c r="R48" s="761">
        <f ca="1">SUM(C48:Q48)</f>
        <v>1173.1420449451514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24428.923179064306</v>
      </c>
      <c r="D53" s="773">
        <f t="shared" ref="D53:Q53" ca="1" si="6">D41+D46+D48</f>
        <v>0</v>
      </c>
      <c r="E53" s="773">
        <f t="shared" ca="1" si="6"/>
        <v>69621.314350483735</v>
      </c>
      <c r="F53" s="773">
        <f t="shared" si="6"/>
        <v>1383.6050644261443</v>
      </c>
      <c r="G53" s="773">
        <f t="shared" ca="1" si="6"/>
        <v>6716.6581083982846</v>
      </c>
      <c r="H53" s="773">
        <f t="shared" si="6"/>
        <v>66806.614751590954</v>
      </c>
      <c r="I53" s="773">
        <f t="shared" si="6"/>
        <v>9332.3764286735186</v>
      </c>
      <c r="J53" s="773">
        <f t="shared" si="6"/>
        <v>0</v>
      </c>
      <c r="K53" s="773">
        <f t="shared" si="6"/>
        <v>117.71783342769425</v>
      </c>
      <c r="L53" s="773">
        <f t="shared" si="6"/>
        <v>0</v>
      </c>
      <c r="M53" s="773">
        <f t="shared" ca="1" si="6"/>
        <v>0</v>
      </c>
      <c r="N53" s="773">
        <f t="shared" si="6"/>
        <v>0</v>
      </c>
      <c r="O53" s="773">
        <f t="shared" ca="1" si="6"/>
        <v>0</v>
      </c>
      <c r="P53" s="773">
        <f>P41+P46+P48</f>
        <v>0</v>
      </c>
      <c r="Q53" s="774">
        <f t="shared" si="6"/>
        <v>0</v>
      </c>
      <c r="R53" s="775">
        <f ca="1">R41+R46+R48</f>
        <v>178407.20971606462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0.1822473824054377</v>
      </c>
      <c r="D55" s="836">
        <f t="shared" ca="1" si="7"/>
        <v>0</v>
      </c>
      <c r="E55" s="836">
        <f t="shared" ca="1" si="7"/>
        <v>0.20200000000000004</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7054.9607003193541</v>
      </c>
      <c r="C64" s="795">
        <f>'lokale energieproductie'!B4</f>
        <v>7054.9607003193541</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16449.581325516239</v>
      </c>
      <c r="C66" s="795">
        <f>'lokale energieproductie'!B6</f>
        <v>16449.581325516239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23504.542025835595</v>
      </c>
      <c r="C69" s="803">
        <f>SUM(C64:C68)</f>
        <v>23504.542025835595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35768.792273439496</v>
      </c>
      <c r="C4" s="478">
        <f>huishoudens!C8</f>
        <v>0</v>
      </c>
      <c r="D4" s="478">
        <f>huishoudens!D8</f>
        <v>112863.73592208001</v>
      </c>
      <c r="E4" s="478">
        <f>huishoudens!E8</f>
        <v>1730.8706675523449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12744.632612164072</v>
      </c>
      <c r="O4" s="478">
        <f>huishoudens!O8</f>
        <v>171.96666666666667</v>
      </c>
      <c r="P4" s="479">
        <f>huishoudens!P8</f>
        <v>1468.1333333333332</v>
      </c>
      <c r="Q4" s="480">
        <f>SUM(B4:P4)</f>
        <v>164748.13147523595</v>
      </c>
    </row>
    <row r="5" spans="1:17">
      <c r="A5" s="477" t="s">
        <v>156</v>
      </c>
      <c r="B5" s="478">
        <f ca="1">tertiair!B16</f>
        <v>57017.262922040005</v>
      </c>
      <c r="C5" s="478">
        <f ca="1">tertiair!C16</f>
        <v>0</v>
      </c>
      <c r="D5" s="478">
        <f ca="1">tertiair!D16</f>
        <v>43604.751093565203</v>
      </c>
      <c r="E5" s="478">
        <f>tertiair!E16</f>
        <v>1153.0982584955634</v>
      </c>
      <c r="F5" s="478">
        <f ca="1">tertiair!F16</f>
        <v>13581.329906541787</v>
      </c>
      <c r="G5" s="478">
        <f>tertiair!G16</f>
        <v>0</v>
      </c>
      <c r="H5" s="478">
        <f>tertiair!H16</f>
        <v>0</v>
      </c>
      <c r="I5" s="478">
        <f>tertiair!I16</f>
        <v>0</v>
      </c>
      <c r="J5" s="478">
        <f>tertiair!J16</f>
        <v>0</v>
      </c>
      <c r="K5" s="478">
        <f>tertiair!K16</f>
        <v>0</v>
      </c>
      <c r="L5" s="478">
        <f ca="1">tertiair!L16</f>
        <v>0</v>
      </c>
      <c r="M5" s="478">
        <f>tertiair!M16</f>
        <v>0</v>
      </c>
      <c r="N5" s="478">
        <f ca="1">tertiair!N16</f>
        <v>3516.911110015441</v>
      </c>
      <c r="O5" s="478">
        <f>tertiair!O16</f>
        <v>1.5633333333333335</v>
      </c>
      <c r="P5" s="479">
        <f>tertiair!P16</f>
        <v>38.133333333333333</v>
      </c>
      <c r="Q5" s="477">
        <f t="shared" ref="Q5:Q13" ca="1" si="0">SUM(B5:P5)</f>
        <v>118913.04995732466</v>
      </c>
    </row>
    <row r="6" spans="1:17">
      <c r="A6" s="477" t="s">
        <v>194</v>
      </c>
      <c r="B6" s="478">
        <f>'openbare verlichting'!B8</f>
        <v>1587.7560000000001</v>
      </c>
      <c r="C6" s="478"/>
      <c r="D6" s="478"/>
      <c r="E6" s="478"/>
      <c r="F6" s="478"/>
      <c r="G6" s="478"/>
      <c r="H6" s="478"/>
      <c r="I6" s="478"/>
      <c r="J6" s="478"/>
      <c r="K6" s="478"/>
      <c r="L6" s="478"/>
      <c r="M6" s="478"/>
      <c r="N6" s="478"/>
      <c r="O6" s="478"/>
      <c r="P6" s="479"/>
      <c r="Q6" s="477">
        <f t="shared" si="0"/>
        <v>1587.7560000000001</v>
      </c>
    </row>
    <row r="7" spans="1:17">
      <c r="A7" s="477" t="s">
        <v>112</v>
      </c>
      <c r="B7" s="478">
        <f>landbouw!B8</f>
        <v>307.219462927</v>
      </c>
      <c r="C7" s="478">
        <f>landbouw!C8</f>
        <v>0</v>
      </c>
      <c r="D7" s="478">
        <f>landbouw!D8</f>
        <v>3959.7549509458599</v>
      </c>
      <c r="E7" s="478">
        <f>landbouw!E8</f>
        <v>7.9220103625272813</v>
      </c>
      <c r="F7" s="478">
        <f>landbouw!F8</f>
        <v>1122.9456441027914</v>
      </c>
      <c r="G7" s="478">
        <f>landbouw!G8</f>
        <v>0</v>
      </c>
      <c r="H7" s="478">
        <f>landbouw!H8</f>
        <v>0</v>
      </c>
      <c r="I7" s="478">
        <f>landbouw!I8</f>
        <v>0</v>
      </c>
      <c r="J7" s="478">
        <f>landbouw!J8</f>
        <v>44.22830108445882</v>
      </c>
      <c r="K7" s="478">
        <f>landbouw!K8</f>
        <v>0</v>
      </c>
      <c r="L7" s="478">
        <f>landbouw!L8</f>
        <v>0</v>
      </c>
      <c r="M7" s="478">
        <f>landbouw!M8</f>
        <v>0</v>
      </c>
      <c r="N7" s="478">
        <f>landbouw!N8</f>
        <v>0</v>
      </c>
      <c r="O7" s="478">
        <f>landbouw!O8</f>
        <v>0</v>
      </c>
      <c r="P7" s="479">
        <f>landbouw!P8</f>
        <v>0</v>
      </c>
      <c r="Q7" s="477">
        <f t="shared" si="0"/>
        <v>5442.0703694226377</v>
      </c>
    </row>
    <row r="8" spans="1:17">
      <c r="A8" s="477" t="s">
        <v>638</v>
      </c>
      <c r="B8" s="478">
        <f>industrie!B18</f>
        <v>39301.344848349996</v>
      </c>
      <c r="C8" s="478">
        <f>industrie!C18</f>
        <v>0</v>
      </c>
      <c r="D8" s="478">
        <f>industrie!D18</f>
        <v>184093.44472335232</v>
      </c>
      <c r="E8" s="478">
        <f>industrie!E18</f>
        <v>2642.830293307818</v>
      </c>
      <c r="F8" s="478">
        <f>industrie!F18</f>
        <v>10451.747327251616</v>
      </c>
      <c r="G8" s="478">
        <f>industrie!G18</f>
        <v>0</v>
      </c>
      <c r="H8" s="478">
        <f>industrie!H18</f>
        <v>0</v>
      </c>
      <c r="I8" s="478">
        <f>industrie!I18</f>
        <v>0</v>
      </c>
      <c r="J8" s="478">
        <f>industrie!J18</f>
        <v>288.30795153614639</v>
      </c>
      <c r="K8" s="478">
        <f>industrie!K18</f>
        <v>0</v>
      </c>
      <c r="L8" s="478">
        <f>industrie!L18</f>
        <v>0</v>
      </c>
      <c r="M8" s="478">
        <f>industrie!M18</f>
        <v>0</v>
      </c>
      <c r="N8" s="478">
        <f>industrie!N18</f>
        <v>8269.6298161850391</v>
      </c>
      <c r="O8" s="478">
        <f>industrie!O18</f>
        <v>0</v>
      </c>
      <c r="P8" s="479">
        <f>industrie!P18</f>
        <v>0</v>
      </c>
      <c r="Q8" s="477">
        <f t="shared" si="0"/>
        <v>245047.30495998292</v>
      </c>
    </row>
    <row r="9" spans="1:17" s="483" customFormat="1">
      <c r="A9" s="481" t="s">
        <v>564</v>
      </c>
      <c r="B9" s="482">
        <f>transport!B14</f>
        <v>60.280451496762801</v>
      </c>
      <c r="C9" s="482">
        <f>transport!C14</f>
        <v>0</v>
      </c>
      <c r="D9" s="482">
        <f>transport!D14</f>
        <v>138.28534215423184</v>
      </c>
      <c r="E9" s="482">
        <f>transport!E14</f>
        <v>560.45526555110541</v>
      </c>
      <c r="F9" s="482">
        <f>transport!F14</f>
        <v>0</v>
      </c>
      <c r="G9" s="482">
        <f>transport!G14</f>
        <v>248107.72033074801</v>
      </c>
      <c r="H9" s="482">
        <f>transport!H14</f>
        <v>37479.423408327384</v>
      </c>
      <c r="I9" s="482">
        <f>transport!I14</f>
        <v>0</v>
      </c>
      <c r="J9" s="482">
        <f>transport!J14</f>
        <v>0</v>
      </c>
      <c r="K9" s="482">
        <f>transport!K14</f>
        <v>0</v>
      </c>
      <c r="L9" s="482">
        <f>transport!L14</f>
        <v>0</v>
      </c>
      <c r="M9" s="482">
        <f>transport!M14</f>
        <v>8939.2195115690101</v>
      </c>
      <c r="N9" s="482">
        <f>transport!N14</f>
        <v>0</v>
      </c>
      <c r="O9" s="482">
        <f>transport!O14</f>
        <v>0</v>
      </c>
      <c r="P9" s="482">
        <f>transport!P14</f>
        <v>0</v>
      </c>
      <c r="Q9" s="481">
        <f>SUM(B9:P9)</f>
        <v>295285.3843098465</v>
      </c>
    </row>
    <row r="10" spans="1:17">
      <c r="A10" s="477" t="s">
        <v>554</v>
      </c>
      <c r="B10" s="478">
        <f>transport!B54</f>
        <v>0</v>
      </c>
      <c r="C10" s="478">
        <f>transport!C54</f>
        <v>0</v>
      </c>
      <c r="D10" s="478">
        <f>transport!D54</f>
        <v>0</v>
      </c>
      <c r="E10" s="478">
        <f>transport!E54</f>
        <v>0</v>
      </c>
      <c r="F10" s="478">
        <f>transport!F54</f>
        <v>0</v>
      </c>
      <c r="G10" s="478">
        <f>transport!G54</f>
        <v>2104.3199373829225</v>
      </c>
      <c r="H10" s="478">
        <f>transport!H54</f>
        <v>0</v>
      </c>
      <c r="I10" s="478">
        <f>transport!I54</f>
        <v>0</v>
      </c>
      <c r="J10" s="478">
        <f>transport!J54</f>
        <v>0</v>
      </c>
      <c r="K10" s="478">
        <f>transport!K54</f>
        <v>0</v>
      </c>
      <c r="L10" s="478">
        <f>transport!L54</f>
        <v>0</v>
      </c>
      <c r="M10" s="478">
        <f>transport!M54</f>
        <v>65.271296710746654</v>
      </c>
      <c r="N10" s="478">
        <f>transport!N54</f>
        <v>0</v>
      </c>
      <c r="O10" s="478">
        <f>transport!O54</f>
        <v>0</v>
      </c>
      <c r="P10" s="479">
        <f>transport!P54</f>
        <v>0</v>
      </c>
      <c r="Q10" s="477">
        <f t="shared" si="0"/>
        <v>2169.5912340936693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134042.65595825325</v>
      </c>
      <c r="C14" s="488">
        <f t="shared" ref="C14:Q14" ca="1" si="1">SUM(C4:C13)</f>
        <v>0</v>
      </c>
      <c r="D14" s="488">
        <f t="shared" ca="1" si="1"/>
        <v>344659.97203209763</v>
      </c>
      <c r="E14" s="488">
        <f t="shared" si="1"/>
        <v>6095.1764952693584</v>
      </c>
      <c r="F14" s="488">
        <f t="shared" ca="1" si="1"/>
        <v>25156.022877896197</v>
      </c>
      <c r="G14" s="488">
        <f t="shared" si="1"/>
        <v>250212.04026813092</v>
      </c>
      <c r="H14" s="488">
        <f t="shared" si="1"/>
        <v>37479.423408327384</v>
      </c>
      <c r="I14" s="488">
        <f t="shared" si="1"/>
        <v>0</v>
      </c>
      <c r="J14" s="488">
        <f t="shared" si="1"/>
        <v>332.53625262060518</v>
      </c>
      <c r="K14" s="488">
        <f t="shared" si="1"/>
        <v>0</v>
      </c>
      <c r="L14" s="488">
        <f t="shared" ca="1" si="1"/>
        <v>0</v>
      </c>
      <c r="M14" s="488">
        <f t="shared" si="1"/>
        <v>9004.4908082797574</v>
      </c>
      <c r="N14" s="488">
        <f t="shared" ca="1" si="1"/>
        <v>24531.17353836455</v>
      </c>
      <c r="O14" s="488">
        <f t="shared" si="1"/>
        <v>173.53</v>
      </c>
      <c r="P14" s="489">
        <f t="shared" si="1"/>
        <v>1506.2666666666667</v>
      </c>
      <c r="Q14" s="489">
        <f t="shared" ca="1" si="1"/>
        <v>833193.28830590623</v>
      </c>
    </row>
    <row r="16" spans="1:17">
      <c r="A16" s="491" t="s">
        <v>559</v>
      </c>
      <c r="B16" s="841">
        <f ca="1">huishoudens!B10</f>
        <v>0.1822473824054377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6518.7687636381934</v>
      </c>
      <c r="C21" s="478">
        <f t="shared" ref="C21:C30" ca="1" si="3">C4*$C$16</f>
        <v>0</v>
      </c>
      <c r="D21" s="478">
        <f t="shared" ref="D21:D30" si="4">D4*$D$16</f>
        <v>22798.474656260165</v>
      </c>
      <c r="E21" s="478">
        <f t="shared" ref="E21:E30" si="5">E4*$E$16</f>
        <v>392.90764153438232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29710.151061432738</v>
      </c>
    </row>
    <row r="22" spans="1:17">
      <c r="A22" s="477" t="s">
        <v>156</v>
      </c>
      <c r="B22" s="478">
        <f t="shared" ca="1" si="2"/>
        <v>10391.246919464409</v>
      </c>
      <c r="C22" s="478">
        <f t="shared" ca="1" si="3"/>
        <v>0</v>
      </c>
      <c r="D22" s="478">
        <f t="shared" ca="1" si="4"/>
        <v>8808.159720900172</v>
      </c>
      <c r="E22" s="478">
        <f t="shared" si="5"/>
        <v>261.7533046784929</v>
      </c>
      <c r="F22" s="478">
        <f t="shared" ca="1" si="6"/>
        <v>3626.2150850466574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23087.37503008973</v>
      </c>
    </row>
    <row r="23" spans="1:17">
      <c r="A23" s="477" t="s">
        <v>194</v>
      </c>
      <c r="B23" s="478">
        <f t="shared" ca="1" si="2"/>
        <v>289.36437489852813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289.36437489852813</v>
      </c>
    </row>
    <row r="24" spans="1:17">
      <c r="A24" s="477" t="s">
        <v>112</v>
      </c>
      <c r="B24" s="478">
        <f t="shared" ca="1" si="2"/>
        <v>55.989942942450156</v>
      </c>
      <c r="C24" s="478">
        <f t="shared" ca="1" si="3"/>
        <v>0</v>
      </c>
      <c r="D24" s="478">
        <f t="shared" si="4"/>
        <v>799.87050009106372</v>
      </c>
      <c r="E24" s="478">
        <f t="shared" si="5"/>
        <v>1.798296352293693</v>
      </c>
      <c r="F24" s="478">
        <f t="shared" si="6"/>
        <v>299.82648697544533</v>
      </c>
      <c r="G24" s="478">
        <f t="shared" si="7"/>
        <v>0</v>
      </c>
      <c r="H24" s="478">
        <f t="shared" si="8"/>
        <v>0</v>
      </c>
      <c r="I24" s="478">
        <f t="shared" si="9"/>
        <v>0</v>
      </c>
      <c r="J24" s="478">
        <f t="shared" si="10"/>
        <v>15.656818583898422</v>
      </c>
      <c r="K24" s="478">
        <f t="shared" si="11"/>
        <v>0</v>
      </c>
      <c r="L24" s="478">
        <f t="shared" si="12"/>
        <v>0</v>
      </c>
      <c r="M24" s="478">
        <f t="shared" si="13"/>
        <v>0</v>
      </c>
      <c r="N24" s="478">
        <f t="shared" si="14"/>
        <v>0</v>
      </c>
      <c r="O24" s="478">
        <f t="shared" si="15"/>
        <v>0</v>
      </c>
      <c r="P24" s="479">
        <f t="shared" si="16"/>
        <v>0</v>
      </c>
      <c r="Q24" s="477">
        <f t="shared" ca="1" si="17"/>
        <v>1173.1420449451514</v>
      </c>
    </row>
    <row r="25" spans="1:17">
      <c r="A25" s="477" t="s">
        <v>638</v>
      </c>
      <c r="B25" s="478">
        <f t="shared" ca="1" si="2"/>
        <v>7162.5672236252203</v>
      </c>
      <c r="C25" s="478">
        <f t="shared" ca="1" si="3"/>
        <v>0</v>
      </c>
      <c r="D25" s="478">
        <f t="shared" si="4"/>
        <v>37186.875834117171</v>
      </c>
      <c r="E25" s="478">
        <f t="shared" si="5"/>
        <v>599.92247658087467</v>
      </c>
      <c r="F25" s="478">
        <f t="shared" si="6"/>
        <v>2790.6165363761816</v>
      </c>
      <c r="G25" s="478">
        <f t="shared" si="7"/>
        <v>0</v>
      </c>
      <c r="H25" s="478">
        <f t="shared" si="8"/>
        <v>0</v>
      </c>
      <c r="I25" s="478">
        <f t="shared" si="9"/>
        <v>0</v>
      </c>
      <c r="J25" s="478">
        <f t="shared" si="10"/>
        <v>102.06101484379582</v>
      </c>
      <c r="K25" s="478">
        <f t="shared" si="11"/>
        <v>0</v>
      </c>
      <c r="L25" s="478">
        <f t="shared" si="12"/>
        <v>0</v>
      </c>
      <c r="M25" s="478">
        <f t="shared" si="13"/>
        <v>0</v>
      </c>
      <c r="N25" s="478">
        <f t="shared" si="14"/>
        <v>0</v>
      </c>
      <c r="O25" s="478">
        <f t="shared" si="15"/>
        <v>0</v>
      </c>
      <c r="P25" s="479">
        <f t="shared" si="16"/>
        <v>0</v>
      </c>
      <c r="Q25" s="477">
        <f t="shared" ca="1" si="17"/>
        <v>47842.04308554325</v>
      </c>
    </row>
    <row r="26" spans="1:17" s="483" customFormat="1">
      <c r="A26" s="481" t="s">
        <v>564</v>
      </c>
      <c r="B26" s="835">
        <f t="shared" ca="1" si="2"/>
        <v>10.98595449550297</v>
      </c>
      <c r="C26" s="482">
        <f t="shared" ca="1" si="3"/>
        <v>0</v>
      </c>
      <c r="D26" s="482">
        <f t="shared" si="4"/>
        <v>27.933639115154833</v>
      </c>
      <c r="E26" s="482">
        <f t="shared" si="5"/>
        <v>127.22334528010093</v>
      </c>
      <c r="F26" s="482">
        <f t="shared" si="6"/>
        <v>0</v>
      </c>
      <c r="G26" s="482">
        <f t="shared" si="7"/>
        <v>66244.761328309716</v>
      </c>
      <c r="H26" s="482">
        <f t="shared" si="8"/>
        <v>9332.3764286735186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75743.280695873997</v>
      </c>
    </row>
    <row r="27" spans="1:17">
      <c r="A27" s="477" t="s">
        <v>554</v>
      </c>
      <c r="B27" s="478">
        <f t="shared" ca="1" si="2"/>
        <v>0</v>
      </c>
      <c r="C27" s="478">
        <f t="shared" ca="1" si="3"/>
        <v>0</v>
      </c>
      <c r="D27" s="478">
        <f t="shared" si="4"/>
        <v>0</v>
      </c>
      <c r="E27" s="478">
        <f t="shared" si="5"/>
        <v>0</v>
      </c>
      <c r="F27" s="478">
        <f t="shared" si="6"/>
        <v>0</v>
      </c>
      <c r="G27" s="478">
        <f t="shared" si="7"/>
        <v>561.85342328124034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561.85342328124034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24428.923179064306</v>
      </c>
      <c r="C31" s="488">
        <f t="shared" ca="1" si="18"/>
        <v>0</v>
      </c>
      <c r="D31" s="488">
        <f t="shared" ca="1" si="18"/>
        <v>69621.314350483735</v>
      </c>
      <c r="E31" s="488">
        <f t="shared" si="18"/>
        <v>1383.6050644261443</v>
      </c>
      <c r="F31" s="488">
        <f t="shared" ca="1" si="18"/>
        <v>6716.6581083982837</v>
      </c>
      <c r="G31" s="488">
        <f t="shared" si="18"/>
        <v>66806.614751590954</v>
      </c>
      <c r="H31" s="488">
        <f t="shared" si="18"/>
        <v>9332.3764286735186</v>
      </c>
      <c r="I31" s="488">
        <f t="shared" si="18"/>
        <v>0</v>
      </c>
      <c r="J31" s="488">
        <f t="shared" si="18"/>
        <v>117.71783342769425</v>
      </c>
      <c r="K31" s="488">
        <f t="shared" si="18"/>
        <v>0</v>
      </c>
      <c r="L31" s="488">
        <f t="shared" ca="1" si="18"/>
        <v>0</v>
      </c>
      <c r="M31" s="488">
        <f t="shared" si="18"/>
        <v>0</v>
      </c>
      <c r="N31" s="488">
        <f t="shared" ca="1" si="18"/>
        <v>0</v>
      </c>
      <c r="O31" s="488">
        <f t="shared" si="18"/>
        <v>0</v>
      </c>
      <c r="P31" s="489">
        <f t="shared" si="18"/>
        <v>0</v>
      </c>
      <c r="Q31" s="489">
        <f t="shared" ca="1" si="18"/>
        <v>178407.20971606465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0.1822473824054377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0.1822473824054377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0.1822473824054377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2018-06-27T09:40:52Z</dcterms:modified>
</cp:coreProperties>
</file>