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G14" i="22"/>
  <c r="G9" i="48" s="1"/>
  <c r="P41" i="14"/>
  <c r="P53" s="1"/>
  <c r="I14" i="48"/>
  <c r="P13" i="14"/>
  <c r="D8" i="4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I19" i="14"/>
  <c r="I20" s="1"/>
  <c r="I23" s="1"/>
  <c r="M18" i="22"/>
  <c r="N45" i="14" s="1"/>
  <c r="M9" i="48"/>
  <c r="N19" i="14"/>
  <c r="N20" s="1"/>
  <c r="N23" s="1"/>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9" i="18"/>
  <c r="M7"/>
  <c r="M9"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20" i="16"/>
  <c r="C22" s="1"/>
  <c r="D39" i="14" s="1"/>
  <c r="C16" i="22"/>
  <c r="C17" i="19"/>
  <c r="C19" s="1"/>
  <c r="D35" i="14" s="1"/>
  <c r="C10" i="17"/>
  <c r="C12" s="1"/>
  <c r="D48" i="14" s="1"/>
  <c r="C18" i="15"/>
  <c r="C20" s="1"/>
  <c r="D36" i="14" s="1"/>
  <c r="C10" i="13"/>
  <c r="C16" i="48" s="1"/>
  <c r="C30" s="1"/>
  <c r="C56" i="22"/>
  <c r="C58" s="1"/>
  <c r="D44" i="14" s="1"/>
  <c r="D46" s="1"/>
  <c r="C17" i="49"/>
  <c r="O13" i="14"/>
  <c r="O15" s="1"/>
  <c r="N22" i="16"/>
  <c r="O39" i="14" s="1"/>
  <c r="O41" s="1"/>
  <c r="O53" s="1"/>
  <c r="N25" i="48"/>
  <c r="N31" s="1"/>
  <c r="N14"/>
  <c r="E25"/>
  <c r="E31" s="1"/>
  <c r="E14"/>
  <c r="K13" i="14"/>
  <c r="K15" s="1"/>
  <c r="K23" s="1"/>
  <c r="H55"/>
  <c r="E55"/>
  <c r="C78"/>
  <c r="C81" s="1"/>
  <c r="J14" i="48"/>
  <c r="J31"/>
  <c r="Q8"/>
  <c r="Q14" s="1"/>
  <c r="R19" i="14"/>
  <c r="R20" s="1"/>
  <c r="H14" i="48"/>
  <c r="G31"/>
  <c r="H26"/>
  <c r="H31" s="1"/>
  <c r="F55" i="14"/>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<sst xmlns="http://schemas.openxmlformats.org/spreadsheetml/2006/main" count="1960" uniqueCount="835">
  <si>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</si>
  <si>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</si>
  <si>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</si>
  <si>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</si>
  <si>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</si>
  <si>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</si>
  <si>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</si>
  <si>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</si>
  <si>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</si>
  <si>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</si>
  <si>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</si>
  <si>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</si>
  <si>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</si>
  <si>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</si>
  <si>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</si>
  <si>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</si>
  <si>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</si>
  <si>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</si>
  <si>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</si>
  <si>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</si>
  <si>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</si>
  <si>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</si>
  <si>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</si>
  <si>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</si>
  <si>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</si>
  <si>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</si>
  <si>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</si>
  <si>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</si>
  <si>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</si>
  <si>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</si>
  <si>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</si>
  <si>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</si>
  <si>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</si>
  <si>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</si>
  <si>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</si>
  <si>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</si>
  <si>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</si>
  <si>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</si>
  <si>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</si>
  <si>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</si>
  <si>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</si>
  <si>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</si>
  <si>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</si>
  <si>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</si>
  <si>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</si>
  <si>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</si>
  <si>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</si>
  <si>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</si>
  <si>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</si>
  <si>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</si>
  <si>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</si>
  <si>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</si>
  <si>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</si>
  <si>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</si>
  <si>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</si>
  <si>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</si>
  <si>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</si>
  <si>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</si>
  <si>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</si>
  <si>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</si>
  <si>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</si>
  <si>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</si>
  <si>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</si>
  <si>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</si>
  <si>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</si>
  <si>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</si>
  <si>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</si>
  <si>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</si>
  <si>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</si>
  <si>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</si>
  <si>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</si>
  <si>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</si>
  <si>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</si>
  <si>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</si>
  <si>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</si>
  <si>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</si>
  <si>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</si>
  <si>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</si>
  <si>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</si>
  <si>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</si>
  <si>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</si>
  <si>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</si>
  <si>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</si>
  <si>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</si>
  <si>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</si>
  <si>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</si>
  <si>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</si>
  <si>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</si>
  <si>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</si>
  <si>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</si>
  <si>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</si>
  <si>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</si>
  <si>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</si>
  <si>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</si>
  <si>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</si>
  <si>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</si>
  <si>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</si>
  <si>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</si>
  <si>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</si>
  <si>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</si>
  <si>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</si>
  <si>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</si>
  <si>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</si>
  <si>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</si>
  <si>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</si>
  <si>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</si>
  <si>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</si>
  <si>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</si>
  <si>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</si>
  <si>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</si>
  <si>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</si>
  <si>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</si>
  <si>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</si>
  <si>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</si>
  <si>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</si>
  <si>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</si>
  <si>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</si>
  <si>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</si>
  <si>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</si>
  <si>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</si>
  <si>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</si>
  <si>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</si>
  <si>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</si>
  <si>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</si>
  <si>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</si>
  <si>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</si>
  <si>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</si>
  <si>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</si>
  <si>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</si>
  <si>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</si>
  <si>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</si>
  <si>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</si>
  <si>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</si>
  <si>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</si>
  <si>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</si>
  <si>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</si>
  <si>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</si>
  <si>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</si>
  <si>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</si>
  <si>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</si>
  <si>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</si>
  <si>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</si>
  <si>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</si>
  <si>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</si>
  <si>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</si>
  <si>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</si>
  <si>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</si>
  <si>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</si>
  <si>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</si>
  <si>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</si>
  <si>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</si>
  <si>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</si>
  <si>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</si>
  <si>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</si>
  <si>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</si>
  <si>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</si>
  <si>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</si>
  <si>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</si>
  <si>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</si>
  <si>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</si>
  <si>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</si>
  <si>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</si>
  <si>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</si>
  <si>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</si>
  <si>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</si>
  <si>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</si>
  <si>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</si>
  <si>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</si>
  <si>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</si>
  <si>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</si>
  <si>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</si>
  <si>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</si>
  <si>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</si>
  <si>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</si>
  <si>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</si>
  <si>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</si>
  <si>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</si>
  <si>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</si>
  <si>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</si>
  <si>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</si>
  <si>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</si>
  <si>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</si>
  <si>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</si>
  <si>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</si>
  <si>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</si>
  <si>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</si>
  <si>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</si>
  <si>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</si>
  <si>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</si>
  <si>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</si>
  <si>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</si>
  <si>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</si>
  <si>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</si>
  <si>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</si>
  <si>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</si>
  <si>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</si>
  <si>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</si>
  <si>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</si>
  <si>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</si>
  <si>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</si>
  <si>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</si>
  <si>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</si>
  <si>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</si>
  <si>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</si>
  <si>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</si>
  <si>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</si>
  <si>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</si>
  <si>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</si>
  <si>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</si>
  <si>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</si>
  <si>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</si>
  <si>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</si>
  <si>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</si>
  <si>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</si>
  <si>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</si>
  <si>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</si>
  <si>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</si>
  <si>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</si>
  <si>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</si>
  <si>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</si>
  <si>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</si>
  <si>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</si>
  <si>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</si>
  <si>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</si>
  <si>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</si>
  <si>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</si>
  <si>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</si>
  <si>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</si>
  <si>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</si>
  <si>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</si>
  <si>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</si>
  <si>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</si>
  <si>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</si>
  <si>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</si>
  <si>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</si>
  <si>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</si>
  <si>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</si>
  <si>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</si>
  <si>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</si>
  <si>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</si>
  <si>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</si>
  <si>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</si>
  <si>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</si>
  <si>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</si>
  <si>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</si>
  <si>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</si>
  <si>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</si>
  <si>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</si>
  <si>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</si>
  <si>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</si>
  <si>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</si>
  <si>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</si>
  <si>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</si>
  <si>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</si>
  <si>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</si>
  <si>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</si>
  <si>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</si>
  <si>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</si>
  <si>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</si>
  <si>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</si>
  <si>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</si>
  <si>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</si>
  <si>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</si>
  <si>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</si>
  <si>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</si>
  <si>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</si>
  <si>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</si>
  <si>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</si>
  <si>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</si>
  <si>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</si>
  <si>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</si>
  <si>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</si>
  <si>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</si>
  <si>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</si>
  <si>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</si>
  <si>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</si>
  <si>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</si>
  <si>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</si>
  <si>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</si>
  <si>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</si>
  <si>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</si>
  <si>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</si>
  <si>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</si>
  <si>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</si>
  <si>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</si>
  <si>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</si>
  <si>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</si>
  <si>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</si>
  <si>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</si>
  <si>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</si>
  <si>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</si>
  <si>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</si>
  <si>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</si>
  <si>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</si>
  <si>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</si>
  <si>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</si>
  <si>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</si>
  <si>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</si>
  <si>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</si>
  <si>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</si>
  <si>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</si>
  <si>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</si>
  <si>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</si>
  <si>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</si>
  <si>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</si>
  <si>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</si>
  <si>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</si>
  <si>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</si>
  <si>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</si>
  <si>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</si>
  <si>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</si>
  <si>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</si>
  <si>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</si>
  <si>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</si>
  <si>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</si>
  <si>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</si>
  <si>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</si>
  <si>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</si>
  <si>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</si>
  <si>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</si>
  <si>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</si>
  <si>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</si>
  <si>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</si>
  <si>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</si>
  <si>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</si>
  <si>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</si>
  <si>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</si>
  <si>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</si>
  <si>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</si>
  <si>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</si>
  <si>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</si>
  <si>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</si>
  <si>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</si>
  <si>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</si>
  <si>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</si>
  <si>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</si>
  <si>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</si>
  <si>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</si>
  <si>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</si>
  <si>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</si>
  <si>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</si>
  <si>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</si>
  <si>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</si>
  <si>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</si>
  <si>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</si>
  <si>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</si>
  <si>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</si>
  <si>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</si>
  <si>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</si>
  <si>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</si>
  <si>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</si>
  <si>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</si>
  <si>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</si>
  <si>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</si>
  <si>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</si>
  <si>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</si>
  <si>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</si>
  <si>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</si>
  <si>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</si>
  <si>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</si>
  <si>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</si>
  <si>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</si>
  <si>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</si>
  <si>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</si>
  <si>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</si>
  <si>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</si>
  <si>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</si>
  <si>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</si>
  <si>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</si>
  <si>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</si>
  <si>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</si>
  <si>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</si>
  <si>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</si>
  <si>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</si>
  <si>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</si>
  <si>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</si>
  <si>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</si>
  <si>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</si>
  <si>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</si>
  <si>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</si>
  <si>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</si>
  <si>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</si>
  <si>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</si>
  <si>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</si>
  <si>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</si>
  <si>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</si>
  <si>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</si>
  <si>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</si>
  <si>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</si>
  <si>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</si>
  <si>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</si>
  <si>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</si>
  <si>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</si>
  <si>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</si>
  <si>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</si>
  <si>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</si>
  <si>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</si>
  <si>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</si>
  <si>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</si>
  <si>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</si>
  <si>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</si>
  <si>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</si>
  <si>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</si>
  <si>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</si>
  <si>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</si>
  <si>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</si>
  <si>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</si>
  <si>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</si>
  <si>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</si>
  <si>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</si>
  <si>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</si>
  <si>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</si>
  <si>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</si>
  <si>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</si>
  <si>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</si>
  <si>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</si>
  <si>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</si>
  <si>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</si>
  <si>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</si>
  <si>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</si>
  <si>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</si>
  <si>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</si>
  <si>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</si>
  <si>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</si>
  <si>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</si>
  <si>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</si>
  <si>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</si>
  <si>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</si>
  <si>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</si>
  <si>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</si>
  <si>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</si>
  <si>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</si>
  <si>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</si>
  <si>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</si>
  <si>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</si>
  <si>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</si>
  <si>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</si>
  <si>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</si>
  <si>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</si>
  <si>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</si>
  <si>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</si>
  <si>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</si>
  <si>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</si>
  <si>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</si>
  <si>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</si>
  <si>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</si>
  <si>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</si>
  <si>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</si>
  <si>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</si>
  <si>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</si>
  <si>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</si>
  <si>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</si>
  <si>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</si>
  <si>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</si>
  <si>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</si>
  <si>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</si>
  <si>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</si>
  <si>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</si>
  <si>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</si>
  <si>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</si>
  <si>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</si>
  <si>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</si>
  <si>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</si>
  <si>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</si>
  <si>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</si>
  <si>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</si>
  <si>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</si>
  <si>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</si>
  <si>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</si>
  <si>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</si>
  <si>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</si>
  <si>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</si>
  <si>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</si>
  <si>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</si>
  <si>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</si>
  <si>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</si>
  <si>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</si>
  <si>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</si>
  <si>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</si>
  <si>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</si>
  <si>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</si>
  <si>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</si>
  <si>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</si>
  <si>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</si>
  <si>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</si>
  <si>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</si>
  <si>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</si>
  <si>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</si>
  <si>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</si>
  <si>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</si>
  <si>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</si>
  <si>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</si>
  <si>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</si>
  <si>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</si>
  <si>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</si>
  <si>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</si>
  <si>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</si>
  <si>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</si>
  <si>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</si>
  <si>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</si>
  <si>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</si>
  <si>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</si>
  <si>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</si>
  <si>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</si>
  <si>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</si>
  <si>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</si>
  <si>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</si>
  <si>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</si>
  <si>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</si>
  <si>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</si>
  <si>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</si>
  <si>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</si>
  <si>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</si>
  <si>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</si>
  <si>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</si>
  <si>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</si>
  <si>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</si>
  <si>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</si>
  <si>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</si>
  <si>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</si>
  <si>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</si>
  <si>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</si>
  <si>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</si>
  <si>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</si>
  <si>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</si>
  <si>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</si>
  <si>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</si>
  <si>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</si>
  <si>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</si>
  <si>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</si>
  <si>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</si>
  <si>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</si>
  <si>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</si>
  <si>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</si>
  <si>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</si>
  <si>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</si>
  <si>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</si>
  <si>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</si>
  <si>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</si>
  <si>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</si>
  <si>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</si>
  <si>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</si>
  <si>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</si>
  <si>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</si>
  <si>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</si>
  <si>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</si>
  <si>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</si>
  <si>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</si>
  <si>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</si>
  <si>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</si>
  <si>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</si>
  <si>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</si>
  <si>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</si>
  <si>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</si>
  <si>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</si>
  <si>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</si>
  <si>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</si>
  <si>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</si>
  <si>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</si>
  <si>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</si>
  <si>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</si>
  <si>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</si>
  <si>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</si>
  <si>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</si>
  <si>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</si>
  <si>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</si>
  <si>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</si>
  <si>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</si>
  <si>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</si>
  <si>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</si>
  <si>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</si>
  <si>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</si>
  <si>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</si>
  <si>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</si>
  <si>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</si>
  <si>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</si>
  <si>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</si>
  <si>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</si>
  <si>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</si>
  <si>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</si>
  <si>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</si>
  <si>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</si>
  <si>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</si>
  <si>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</si>
  <si>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</si>
  <si>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</si>
  <si>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</si>
  <si>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</si>
  <si>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</si>
  <si>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</si>
  <si>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</si>
  <si>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</si>
  <si>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</si>
  <si>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</si>
  <si>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</si>
  <si>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</si>
  <si>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</si>
  <si>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</si>
  <si>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</si>
  <si>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</si>
  <si>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</si>
  <si>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</si>
  <si>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</si>
  <si>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</si>
  <si>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</si>
  <si>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</si>
  <si>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</si>
  <si>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</si>
  <si>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</si>
  <si>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</si>
  <si>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</si>
  <si>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</si>
  <si>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</si>
  <si>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</si>
  <si>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</si>
  <si>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</si>
  <si>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</si>
  <si>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</si>
  <si>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</si>
  <si>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</si>
  <si>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</si>
  <si>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</si>
  <si>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</si>
  <si>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</si>
  <si>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</si>
  <si>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</si>
  <si>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</si>
  <si>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</si>
  <si>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</si>
  <si>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</si>
  <si>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</si>
  <si>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</si>
  <si>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</si>
  <si>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</si>
  <si>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</si>
  <si>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</si>
  <si>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</si>
  <si>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</si>
  <si>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</si>
  <si>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</si>
  <si>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</si>
  <si>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</si>
  <si>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</si>
  <si>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</si>
  <si>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</si>
  <si>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</si>
  <si>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</si>
  <si>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</si>
  <si>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</si>
  <si>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</si>
  <si>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</si>
  <si>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</si>
  <si>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</si>
  <si>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</si>
  <si>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</si>
  <si>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</si>
  <si>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</si>
  <si>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</si>
  <si>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</si>
  <si>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</si>
  <si>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</si>
  <si>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</si>
  <si>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</si>
  <si>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</si>
  <si>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</si>
  <si>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</si>
  <si>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</si>
  <si>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</si>
  <si>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</si>
  <si>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</si>
  <si>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</si>
  <si>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</si>
  <si>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</si>
  <si>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</si>
  <si>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</si>
  <si>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</si>
  <si>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</si>
  <si>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</si>
  <si>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</si>
  <si>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</si>
  <si>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</si>
  <si>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</si>
  <si>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</si>
  <si>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</si>
  <si>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</si>
  <si>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</si>
  <si>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</si>
  <si>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</si>
  <si>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</si>
  <si>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</si>
  <si>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</si>
  <si>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</si>
  <si>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</si>
  <si>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</si>
  <si>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</si>
  <si>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</si>
  <si>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</si>
  <si>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</si>
  <si>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</si>
  <si>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</si>
  <si>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</si>
  <si>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</si>
  <si>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</si>
  <si>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</si>
  <si>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</si>
  <si>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</si>
  <si>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</si>
  <si>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</si>
  <si>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</si>
  <si>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</si>
  <si>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</si>
  <si>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</si>
  <si>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</si>
  <si>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</si>
  <si>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</si>
  <si>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</si>
  <si>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</si>
  <si>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</si>
  <si>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</si>
  <si>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</si>
  <si>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</si>
  <si>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</si>
  <si>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</si>
  <si>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</si>
  <si>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</si>
  <si>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</si>
  <si>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</si>
  <si>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</si>
  <si>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</si>
  <si>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</si>
  <si>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</si>
  <si>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</si>
  <si>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</si>
  <si>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</si>
  <si>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</si>
  <si>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</si>
  <si>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</si>
  <si>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</si>
  <si>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</si>
  <si>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</si>
  <si>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</si>
  <si>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</si>
  <si>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</si>
  <si>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</si>
  <si>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</si>
  <si>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</si>
  <si>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</si>
  <si>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</si>
  <si>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</si>
  <si>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</si>
  <si>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</si>
  <si>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</si>
  <si>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</si>
  <si>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</si>
  <si>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</si>
  <si>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</si>
  <si>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</si>
  <si>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</si>
  <si>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</si>
  <si>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</si>
  <si>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</si>
  <si>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</si>
  <si>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</si>
  <si>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</si>
  <si>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</si>
  <si>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</si>
  <si>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</si>
  <si>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</si>
  <si>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</si>
  <si>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</si>
  <si>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</si>
  <si>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</si>
  <si>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</si>
  <si>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</si>
  <si>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</si>
  <si>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</si>
  <si>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</si>
  <si>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</si>
  <si>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</si>
  <si>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</si>
  <si>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</si>
  <si>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</si>
  <si>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</si>
  <si>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</si>
  <si>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</si>
  <si>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</si>
  <si>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</si>
  <si>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</si>
  <si>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</si>
  <si>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</si>
  <si>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</si>
  <si>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</si>
  <si>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</si>
  <si>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</si>
  <si>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</si>
  <si>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</si>
  <si>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</si>
  <si>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</si>
  <si>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</si>
  <si>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</si>
  <si>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</si>
  <si>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</si>
  <si>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</si>
  <si>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</si>
  <si>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</si>
  <si>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</si>
  <si>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</si>
  <si>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</si>
  <si>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</si>
  <si>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</si>
  <si>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12030</t>
  </si>
  <si>
    <t>PUURS</t>
  </si>
  <si>
    <t>Paarden&amp;pony's 200 - 600 kg</t>
  </si>
  <si>
    <t>Paarden&amp;pony's &lt; 200 kg</t>
  </si>
  <si>
    <t>referentietaak LNE (2017); Jaarverslag De Lijn (2015)</t>
  </si>
  <si>
    <t>op basis van VEA (maart 2018) en Inventaris Hernieuwbare Energiebronnen (juni 2018)</t>
  </si>
  <si>
    <t>VEA (januari 2017)</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</si>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</sst>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125255.29764932087</c:v>
                </c:pt>
                <c:pt idx="1">
                  <c:v>71281.670516436541</c:v>
                </c:pt>
                <c:pt idx="2">
                  <c:v>1549.3630000000001</c:v>
                </c:pt>
                <c:pt idx="3">
                  <c:v>6403.8826681916216</c:v>
                </c:pt>
                <c:pt idx="4">
                  <c:v>314863.72059364937</c:v>
                </c:pt>
                <c:pt idx="5">
                  <c:v>411871.07299597608</c:v>
                </c:pt>
                <c:pt idx="6">
                  <c:v>1658.1226772002556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125255.29764932087</c:v>
                </c:pt>
                <c:pt idx="1">
                  <c:v>71281.670516436541</c:v>
                </c:pt>
                <c:pt idx="2">
                  <c:v>1549.3630000000001</c:v>
                </c:pt>
                <c:pt idx="3">
                  <c:v>6403.8826681916216</c:v>
                </c:pt>
                <c:pt idx="4">
                  <c:v>314863.72059364937</c:v>
                </c:pt>
                <c:pt idx="5">
                  <c:v>411871.07299597608</c:v>
                </c:pt>
                <c:pt idx="6">
                  <c:v>1658.1226772002556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23362.37715968343</c:v>
                </c:pt>
                <c:pt idx="1">
                  <c:v>13947.104887491845</c:v>
                </c:pt>
                <c:pt idx="2">
                  <c:v>298.10938201590642</c:v>
                </c:pt>
                <c:pt idx="3">
                  <c:v>1520.8813485358537</c:v>
                </c:pt>
                <c:pt idx="4">
                  <c:v>60858.679083402341</c:v>
                </c:pt>
                <c:pt idx="5">
                  <c:v>105591.74730114095</c:v>
                </c:pt>
                <c:pt idx="6">
                  <c:v>429.39973565776177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23362.37715968343</c:v>
                </c:pt>
                <c:pt idx="1">
                  <c:v>13947.104887491845</c:v>
                </c:pt>
                <c:pt idx="2">
                  <c:v>298.10938201590642</c:v>
                </c:pt>
                <c:pt idx="3">
                  <c:v>1520.8813485358537</c:v>
                </c:pt>
                <c:pt idx="4">
                  <c:v>60858.679083402341</c:v>
                </c:pt>
                <c:pt idx="5">
                  <c:v>105591.74730114095</c:v>
                </c:pt>
                <c:pt idx="6">
                  <c:v>429.39973565776177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7004</v>
      </c>
      <c r="C9" s="342">
        <v>7472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1193.1099999999999</v>
      </c>
    </row>
    <row r="15" spans="1:6">
      <c r="A15" s="348" t="s">
        <v>184</v>
      </c>
      <c r="B15" s="334">
        <v>1208</v>
      </c>
    </row>
    <row r="16" spans="1:6">
      <c r="A16" s="348" t="s">
        <v>6</v>
      </c>
      <c r="B16" s="334">
        <v>535</v>
      </c>
    </row>
    <row r="17" spans="1:6">
      <c r="A17" s="348" t="s">
        <v>7</v>
      </c>
      <c r="B17" s="334">
        <v>23</v>
      </c>
    </row>
    <row r="18" spans="1:6">
      <c r="A18" s="348" t="s">
        <v>8</v>
      </c>
      <c r="B18" s="334">
        <v>207</v>
      </c>
    </row>
    <row r="19" spans="1:6">
      <c r="A19" s="348" t="s">
        <v>9</v>
      </c>
      <c r="B19" s="334">
        <v>60</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1740</v>
      </c>
    </row>
    <row r="29" spans="1:6">
      <c r="A29" s="355" t="s">
        <v>812</v>
      </c>
      <c r="B29" s="355">
        <v>114</v>
      </c>
      <c r="C29" s="356"/>
      <c r="D29" s="356"/>
      <c r="E29" s="356"/>
      <c r="F29" s="356"/>
    </row>
    <row r="30" spans="1:6">
      <c r="A30" s="355" t="s">
        <v>813</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39707.131698999998</v>
      </c>
    </row>
    <row r="39" spans="1:6">
      <c r="A39" s="348" t="s">
        <v>30</v>
      </c>
      <c r="B39" s="348" t="s">
        <v>31</v>
      </c>
      <c r="C39" s="334">
        <v>5258</v>
      </c>
      <c r="D39" s="334">
        <v>82967109.947999999</v>
      </c>
      <c r="E39" s="334">
        <v>6911</v>
      </c>
      <c r="F39" s="334">
        <v>24652892.568999998</v>
      </c>
    </row>
    <row r="40" spans="1:6">
      <c r="A40" s="348" t="s">
        <v>30</v>
      </c>
      <c r="B40" s="348" t="s">
        <v>29</v>
      </c>
      <c r="C40" s="334">
        <v>0</v>
      </c>
      <c r="D40" s="334">
        <v>0</v>
      </c>
      <c r="E40" s="334">
        <v>0</v>
      </c>
      <c r="F40" s="334">
        <v>0</v>
      </c>
    </row>
    <row r="41" spans="1:6">
      <c r="A41" s="348" t="s">
        <v>32</v>
      </c>
      <c r="B41" s="348" t="s">
        <v>33</v>
      </c>
      <c r="C41" s="334">
        <v>80</v>
      </c>
      <c r="D41" s="334">
        <v>1351904.5247</v>
      </c>
      <c r="E41" s="334">
        <v>179</v>
      </c>
      <c r="F41" s="334">
        <v>9153031.7094000001</v>
      </c>
    </row>
    <row r="42" spans="1:6">
      <c r="A42" s="348" t="s">
        <v>32</v>
      </c>
      <c r="B42" s="348" t="s">
        <v>34</v>
      </c>
      <c r="C42" s="334">
        <v>11</v>
      </c>
      <c r="D42" s="334">
        <v>108606769.81</v>
      </c>
      <c r="E42" s="334">
        <v>11</v>
      </c>
      <c r="F42" s="334">
        <v>51582696.472999997</v>
      </c>
    </row>
    <row r="43" spans="1:6">
      <c r="A43" s="348" t="s">
        <v>32</v>
      </c>
      <c r="B43" s="348" t="s">
        <v>35</v>
      </c>
      <c r="C43" s="334">
        <v>0</v>
      </c>
      <c r="D43" s="334">
        <v>0</v>
      </c>
      <c r="E43" s="334">
        <v>0</v>
      </c>
      <c r="F43" s="334">
        <v>0</v>
      </c>
    </row>
    <row r="44" spans="1:6">
      <c r="A44" s="348" t="s">
        <v>32</v>
      </c>
      <c r="B44" s="348" t="s">
        <v>36</v>
      </c>
      <c r="C44" s="334">
        <v>3</v>
      </c>
      <c r="D44" s="334">
        <v>250565.38299000001</v>
      </c>
      <c r="E44" s="334">
        <v>19</v>
      </c>
      <c r="F44" s="334">
        <v>1702947.6073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26756570.285999998</v>
      </c>
      <c r="E48" s="334">
        <v>47</v>
      </c>
      <c r="F48" s="334">
        <v>43737044.368000001</v>
      </c>
    </row>
    <row r="49" spans="1:6">
      <c r="A49" s="348" t="s">
        <v>32</v>
      </c>
      <c r="B49" s="348" t="s">
        <v>40</v>
      </c>
      <c r="C49" s="334">
        <v>0</v>
      </c>
      <c r="D49" s="334">
        <v>0</v>
      </c>
      <c r="E49" s="334">
        <v>0</v>
      </c>
      <c r="F49" s="334">
        <v>0</v>
      </c>
    </row>
    <row r="50" spans="1:6">
      <c r="A50" s="348" t="s">
        <v>32</v>
      </c>
      <c r="B50" s="348" t="s">
        <v>41</v>
      </c>
      <c r="C50" s="334">
        <v>15</v>
      </c>
      <c r="D50" s="334">
        <v>31764282.028999999</v>
      </c>
      <c r="E50" s="334">
        <v>16</v>
      </c>
      <c r="F50" s="334">
        <v>16066744.636</v>
      </c>
    </row>
    <row r="51" spans="1:6">
      <c r="A51" s="348" t="s">
        <v>42</v>
      </c>
      <c r="B51" s="348" t="s">
        <v>43</v>
      </c>
      <c r="C51" s="334">
        <v>6</v>
      </c>
      <c r="D51" s="334">
        <v>91659.365961999996</v>
      </c>
      <c r="E51" s="334">
        <v>36</v>
      </c>
      <c r="F51" s="334">
        <v>699433.65449999995</v>
      </c>
    </row>
    <row r="52" spans="1:6">
      <c r="A52" s="348" t="s">
        <v>42</v>
      </c>
      <c r="B52" s="348" t="s">
        <v>29</v>
      </c>
      <c r="C52" s="334">
        <v>4</v>
      </c>
      <c r="D52" s="334">
        <v>296024.91807999997</v>
      </c>
      <c r="E52" s="334">
        <v>11</v>
      </c>
      <c r="F52" s="334">
        <v>207859.57832999999</v>
      </c>
    </row>
    <row r="53" spans="1:6">
      <c r="A53" s="348" t="s">
        <v>44</v>
      </c>
      <c r="B53" s="348" t="s">
        <v>45</v>
      </c>
      <c r="C53" s="334">
        <v>115</v>
      </c>
      <c r="D53" s="334">
        <v>1858709.7577</v>
      </c>
      <c r="E53" s="334">
        <v>234</v>
      </c>
      <c r="F53" s="334">
        <v>816400.52245000005</v>
      </c>
    </row>
    <row r="54" spans="1:6">
      <c r="A54" s="348" t="s">
        <v>46</v>
      </c>
      <c r="B54" s="348" t="s">
        <v>47</v>
      </c>
      <c r="C54" s="334">
        <v>0</v>
      </c>
      <c r="D54" s="334">
        <v>0</v>
      </c>
      <c r="E54" s="334">
        <v>1</v>
      </c>
      <c r="F54" s="334">
        <v>1549363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1734618.5486000001</v>
      </c>
      <c r="E57" s="334">
        <v>73</v>
      </c>
      <c r="F57" s="334">
        <v>3092885.2456</v>
      </c>
    </row>
    <row r="58" spans="1:6">
      <c r="A58" s="348" t="s">
        <v>49</v>
      </c>
      <c r="B58" s="348" t="s">
        <v>51</v>
      </c>
      <c r="C58" s="334">
        <v>27</v>
      </c>
      <c r="D58" s="334">
        <v>1383189.6096000001</v>
      </c>
      <c r="E58" s="334">
        <v>48</v>
      </c>
      <c r="F58" s="334">
        <v>697476.23852999997</v>
      </c>
    </row>
    <row r="59" spans="1:6">
      <c r="A59" s="348" t="s">
        <v>49</v>
      </c>
      <c r="B59" s="348" t="s">
        <v>52</v>
      </c>
      <c r="C59" s="334">
        <v>102</v>
      </c>
      <c r="D59" s="334">
        <v>4987319.9023000002</v>
      </c>
      <c r="E59" s="334">
        <v>160</v>
      </c>
      <c r="F59" s="334">
        <v>6844921.9626000002</v>
      </c>
    </row>
    <row r="60" spans="1:6">
      <c r="A60" s="348" t="s">
        <v>49</v>
      </c>
      <c r="B60" s="348" t="s">
        <v>53</v>
      </c>
      <c r="C60" s="334">
        <v>56</v>
      </c>
      <c r="D60" s="334">
        <v>2545832.4811999998</v>
      </c>
      <c r="E60" s="334">
        <v>128</v>
      </c>
      <c r="F60" s="334">
        <v>2205090.3245000001</v>
      </c>
    </row>
    <row r="61" spans="1:6">
      <c r="A61" s="348" t="s">
        <v>49</v>
      </c>
      <c r="B61" s="348" t="s">
        <v>54</v>
      </c>
      <c r="C61" s="334">
        <v>161</v>
      </c>
      <c r="D61" s="334">
        <v>12705679.524</v>
      </c>
      <c r="E61" s="334">
        <v>245</v>
      </c>
      <c r="F61" s="334">
        <v>6932229.3696999997</v>
      </c>
    </row>
    <row r="62" spans="1:6">
      <c r="A62" s="348" t="s">
        <v>49</v>
      </c>
      <c r="B62" s="348" t="s">
        <v>55</v>
      </c>
      <c r="C62" s="334">
        <v>25</v>
      </c>
      <c r="D62" s="334">
        <v>1855301.1475</v>
      </c>
      <c r="E62" s="334">
        <v>25</v>
      </c>
      <c r="F62" s="334">
        <v>454148.06176999997</v>
      </c>
    </row>
    <row r="63" spans="1:6">
      <c r="A63" s="348" t="s">
        <v>49</v>
      </c>
      <c r="B63" s="348" t="s">
        <v>29</v>
      </c>
      <c r="C63" s="334">
        <v>98</v>
      </c>
      <c r="D63" s="334">
        <v>8923102.8629999999</v>
      </c>
      <c r="E63" s="334">
        <v>111</v>
      </c>
      <c r="F63" s="334">
        <v>9015075.9094999991</v>
      </c>
    </row>
    <row r="64" spans="1:6">
      <c r="A64" s="348" t="s">
        <v>56</v>
      </c>
      <c r="B64" s="348" t="s">
        <v>57</v>
      </c>
      <c r="C64" s="334">
        <v>0</v>
      </c>
      <c r="D64" s="334">
        <v>0</v>
      </c>
      <c r="E64" s="334">
        <v>0</v>
      </c>
      <c r="F64" s="334">
        <v>0</v>
      </c>
    </row>
    <row r="65" spans="1:6">
      <c r="A65" s="348" t="s">
        <v>56</v>
      </c>
      <c r="B65" s="348" t="s">
        <v>29</v>
      </c>
      <c r="C65" s="334">
        <v>2</v>
      </c>
      <c r="D65" s="334">
        <v>66195.511431000006</v>
      </c>
      <c r="E65" s="334">
        <v>3</v>
      </c>
      <c r="F65" s="334">
        <v>14545.448741</v>
      </c>
    </row>
    <row r="66" spans="1:6">
      <c r="A66" s="348" t="s">
        <v>56</v>
      </c>
      <c r="B66" s="348" t="s">
        <v>58</v>
      </c>
      <c r="C66" s="334">
        <v>0</v>
      </c>
      <c r="D66" s="334">
        <v>0</v>
      </c>
      <c r="E66" s="334">
        <v>9</v>
      </c>
      <c r="F66" s="334">
        <v>2197569.9717000001</v>
      </c>
    </row>
    <row r="67" spans="1:6">
      <c r="A67" s="355" t="s">
        <v>56</v>
      </c>
      <c r="B67" s="355" t="s">
        <v>59</v>
      </c>
      <c r="C67" s="334">
        <v>0</v>
      </c>
      <c r="D67" s="334">
        <v>0</v>
      </c>
      <c r="E67" s="334">
        <v>0</v>
      </c>
      <c r="F67" s="334">
        <v>0</v>
      </c>
    </row>
    <row r="68" spans="1:6">
      <c r="A68" s="341" t="s">
        <v>56</v>
      </c>
      <c r="B68" s="341" t="s">
        <v>60</v>
      </c>
      <c r="C68" s="334">
        <v>10</v>
      </c>
      <c r="D68" s="334">
        <v>2196287.5203999998</v>
      </c>
      <c r="E68" s="334">
        <v>30</v>
      </c>
      <c r="F68" s="334">
        <v>2141179.5321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249699543</v>
      </c>
      <c r="E73" s="476">
        <v>262990277.49462846</v>
      </c>
    </row>
    <row r="74" spans="1:6">
      <c r="A74" s="348" t="s">
        <v>64</v>
      </c>
      <c r="B74" s="348" t="s">
        <v>667</v>
      </c>
      <c r="C74" s="1212" t="s">
        <v>669</v>
      </c>
      <c r="D74" s="476">
        <v>37697543.42711813</v>
      </c>
      <c r="E74" s="476">
        <v>38390959.838018499</v>
      </c>
    </row>
    <row r="75" spans="1:6">
      <c r="A75" s="348" t="s">
        <v>65</v>
      </c>
      <c r="B75" s="348" t="s">
        <v>666</v>
      </c>
      <c r="C75" s="1212" t="s">
        <v>670</v>
      </c>
      <c r="D75" s="476">
        <v>65161877</v>
      </c>
      <c r="E75" s="476">
        <v>66654712.916097566</v>
      </c>
    </row>
    <row r="76" spans="1:6">
      <c r="A76" s="348" t="s">
        <v>65</v>
      </c>
      <c r="B76" s="348" t="s">
        <v>667</v>
      </c>
      <c r="C76" s="1212" t="s">
        <v>671</v>
      </c>
      <c r="D76" s="476">
        <v>8840462.42711813</v>
      </c>
      <c r="E76" s="476">
        <v>9027822.8102678396</v>
      </c>
    </row>
    <row r="77" spans="1:6">
      <c r="A77" s="348" t="s">
        <v>66</v>
      </c>
      <c r="B77" s="348" t="s">
        <v>666</v>
      </c>
      <c r="C77" s="1212" t="s">
        <v>672</v>
      </c>
      <c r="D77" s="476">
        <v>71153564</v>
      </c>
      <c r="E77" s="476">
        <v>74617012.766985089</v>
      </c>
    </row>
    <row r="78" spans="1:6">
      <c r="A78" s="341" t="s">
        <v>66</v>
      </c>
      <c r="B78" s="341" t="s">
        <v>667</v>
      </c>
      <c r="C78" s="341" t="s">
        <v>673</v>
      </c>
      <c r="D78" s="1213">
        <v>9469124</v>
      </c>
      <c r="E78" s="1213">
        <v>9950154.5829242356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445349.14576374175</v>
      </c>
      <c r="C83" s="476">
        <v>445349.14576374175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16226.409610734512</v>
      </c>
    </row>
    <row r="91" spans="1:6">
      <c r="A91" s="348" t="s">
        <v>68</v>
      </c>
      <c r="B91" s="334">
        <v>3765.4345221921526</v>
      </c>
    </row>
    <row r="92" spans="1:6">
      <c r="A92" s="341" t="s">
        <v>69</v>
      </c>
      <c r="B92" s="342">
        <v>6627.9025117122619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40</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154</v>
      </c>
    </row>
    <row r="130" spans="1:6">
      <c r="A130" s="348" t="s">
        <v>295</v>
      </c>
      <c r="B130" s="334">
        <v>1</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197178.23214488639</v>
      </c>
      <c r="C3" s="43" t="s">
        <v>170</v>
      </c>
      <c r="D3" s="43"/>
      <c r="E3" s="154"/>
      <c r="F3" s="43"/>
      <c r="G3" s="43"/>
      <c r="H3" s="43"/>
      <c r="I3" s="43"/>
      <c r="J3" s="43"/>
      <c r="K3" s="96"/>
    </row>
    <row r="4" spans="1:11">
      <c r="A4" s="383" t="s">
        <v>171</v>
      </c>
      <c r="B4" s="49">
        <f>IF(ISERROR('SEAP template'!B69),0,'SEAP template'!B69)</f>
        <v>41348.246644638923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3500.1847058823523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0.19240770691949299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5000.2638655462169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21040.714285714283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1549.3630000000001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1549.3630000000001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0.19240770691949299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298.10938201590642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24652.892569</v>
      </c>
      <c r="C5" s="17">
        <f>IF(ISERROR('Eigen informatie GS &amp; warmtenet'!B57),0,'Eigen informatie GS &amp; warmtenet'!B57)</f>
        <v>0</v>
      </c>
      <c r="D5" s="30">
        <f>(SUM(HH_hh_gas_kWh,HH_rest_gas_kWh)/1000)*0.902</f>
        <v>74836.333173096005</v>
      </c>
      <c r="E5" s="17">
        <f>B46*B57</f>
        <v>3299.9293602032558</v>
      </c>
      <c r="F5" s="17">
        <f>B51*B62</f>
        <v>7597.186306544987</v>
      </c>
      <c r="G5" s="18"/>
      <c r="H5" s="17"/>
      <c r="I5" s="17"/>
      <c r="J5" s="17">
        <f>B50*B61+C50*C61</f>
        <v>0</v>
      </c>
      <c r="K5" s="17"/>
      <c r="L5" s="17"/>
      <c r="M5" s="17"/>
      <c r="N5" s="17">
        <f>B48*B59+C48*C59</f>
        <v>10186.975051617805</v>
      </c>
      <c r="O5" s="17">
        <f>B69*B70*B71</f>
        <v>306.41333333333336</v>
      </c>
      <c r="P5" s="17">
        <f>B77*B78*B79/1000-B77*B78*B79/1000/B80</f>
        <v>610.13333333333333</v>
      </c>
    </row>
    <row r="6" spans="1:16">
      <c r="A6" s="16" t="s">
        <v>624</v>
      </c>
      <c r="B6" s="843">
        <f>kWh_PV_kleiner_dan_10kW</f>
        <v>3765.4345221921526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28418.327091192154</v>
      </c>
      <c r="C8" s="21">
        <f>C5</f>
        <v>0</v>
      </c>
      <c r="D8" s="21">
        <f>D5</f>
        <v>74836.333173096005</v>
      </c>
      <c r="E8" s="21">
        <f>E5</f>
        <v>3299.9293602032558</v>
      </c>
      <c r="F8" s="21">
        <f>F5</f>
        <v>7597.186306544987</v>
      </c>
      <c r="G8" s="21"/>
      <c r="H8" s="21"/>
      <c r="I8" s="21"/>
      <c r="J8" s="21">
        <f>J5</f>
        <v>0</v>
      </c>
      <c r="K8" s="21"/>
      <c r="L8" s="21">
        <f>L5</f>
        <v>0</v>
      </c>
      <c r="M8" s="21">
        <f>M5</f>
        <v>0</v>
      </c>
      <c r="N8" s="21">
        <f>N5</f>
        <v>10186.975051617805</v>
      </c>
      <c r="O8" s="21">
        <f>O5</f>
        <v>306.41333333333336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0.19240770691949299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5467.9051501043878</v>
      </c>
      <c r="C12" s="23">
        <f ca="1">C10*C8</f>
        <v>0</v>
      </c>
      <c r="D12" s="23">
        <f>D8*D10</f>
        <v>15116.939300965394</v>
      </c>
      <c r="E12" s="23">
        <f>E10*E8</f>
        <v>749.08396476613905</v>
      </c>
      <c r="F12" s="23">
        <f>F10*F8</f>
        <v>2028.4487438475117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7004</v>
      </c>
      <c r="C28" s="36"/>
      <c r="D28" s="228"/>
    </row>
    <row r="29" spans="1:7" s="15" customFormat="1">
      <c r="A29" s="230" t="s">
        <v>699</v>
      </c>
      <c r="B29" s="37">
        <f>SUM(HH_hh_gas_aantal,HH_rest_gas_aantal)</f>
        <v>5258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5258</v>
      </c>
      <c r="C32" s="167">
        <f>IF(ISERROR(B32/SUM($B$32,$B$34,$B$35,$B$36,$B$38,$B$39)*100),0,B32/SUM($B$32,$B$34,$B$35,$B$36,$B$38,$B$39)*100)</f>
        <v>75.415949512335061</v>
      </c>
      <c r="D32" s="233"/>
      <c r="G32" s="15"/>
    </row>
    <row r="33" spans="1:7">
      <c r="A33" s="171" t="s">
        <v>72</v>
      </c>
      <c r="B33" s="34" t="s">
        <v>111</v>
      </c>
      <c r="C33" s="167"/>
      <c r="D33" s="233"/>
      <c r="G33" s="15"/>
    </row>
    <row r="34" spans="1:7">
      <c r="A34" s="171" t="s">
        <v>73</v>
      </c>
      <c r="B34" s="33">
        <f>IF((($B$28-$B$32-$B$39-$B$77-$B$38)*C20/100)&lt;0,0,($B$28-$B$32-$B$39-$B$77-$B$38)*C20/100)</f>
        <v>145.89909502262444</v>
      </c>
      <c r="C34" s="167">
        <f>IF(ISERROR(B34/SUM($B$32,$B$34,$B$35,$B$36,$B$38,$B$39)*100),0,B34/SUM($B$32,$B$34,$B$35,$B$36,$B$38,$B$39)*100)</f>
        <v>2.0926433594753933</v>
      </c>
      <c r="D34" s="233"/>
      <c r="G34" s="15"/>
    </row>
    <row r="35" spans="1:7">
      <c r="A35" s="171" t="s">
        <v>74</v>
      </c>
      <c r="B35" s="33">
        <f>IF((($B$28-$B$32-$B$39-$B$77-$B$38)*C21/100)&lt;0,0,($B$28-$B$32-$B$39-$B$77-$B$38)*C21/100)</f>
        <v>1097.4149321266968</v>
      </c>
      <c r="C35" s="167">
        <f>IF(ISERROR(B35/SUM($B$32,$B$34,$B$35,$B$36,$B$38,$B$39)*100),0,B35/SUM($B$32,$B$34,$B$35,$B$36,$B$38,$B$39)*100)</f>
        <v>15.740317443010568</v>
      </c>
      <c r="D35" s="233"/>
      <c r="G35" s="15"/>
    </row>
    <row r="36" spans="1:7">
      <c r="A36" s="171" t="s">
        <v>75</v>
      </c>
      <c r="B36" s="33">
        <f>IF((($B$28-$B$32-$B$39-$B$77-$B$38)*C22/100)&lt;0,0,($B$28-$B$32-$B$39-$B$77-$B$38)*C22/100)</f>
        <v>158.58597285067876</v>
      </c>
      <c r="C36" s="167">
        <f>IF(ISERROR(B36/SUM($B$32,$B$34,$B$35,$B$36,$B$38,$B$39)*100),0,B36/SUM($B$32,$B$34,$B$35,$B$36,$B$38,$B$39)*100)</f>
        <v>2.2746123472558626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312.09999999999991</v>
      </c>
      <c r="C39" s="167">
        <f>IF(ISERROR(B39/SUM($B$32,$B$34,$B$35,$B$36,$B$38,$B$39)*100),0,B39/SUM($B$32,$B$34,$B$35,$B$36,$B$38,$B$39)*100)</f>
        <v>4.4764773379231197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5258</v>
      </c>
      <c r="C44" s="34" t="s">
        <v>111</v>
      </c>
      <c r="D44" s="174"/>
    </row>
    <row r="45" spans="1:7">
      <c r="A45" s="171" t="s">
        <v>72</v>
      </c>
      <c r="B45" s="33" t="str">
        <f t="shared" si="0"/>
        <v>-</v>
      </c>
      <c r="C45" s="34" t="s">
        <v>111</v>
      </c>
      <c r="D45" s="174"/>
    </row>
    <row r="46" spans="1:7">
      <c r="A46" s="171" t="s">
        <v>73</v>
      </c>
      <c r="B46" s="33">
        <f t="shared" si="0"/>
        <v>145.89909502262444</v>
      </c>
      <c r="C46" s="34" t="s">
        <v>111</v>
      </c>
      <c r="D46" s="174"/>
    </row>
    <row r="47" spans="1:7">
      <c r="A47" s="171" t="s">
        <v>74</v>
      </c>
      <c r="B47" s="33">
        <f t="shared" si="0"/>
        <v>1097.4149321266968</v>
      </c>
      <c r="C47" s="34" t="s">
        <v>111</v>
      </c>
      <c r="D47" s="174"/>
    </row>
    <row r="48" spans="1:7">
      <c r="A48" s="171" t="s">
        <v>75</v>
      </c>
      <c r="B48" s="33">
        <f t="shared" si="0"/>
        <v>158.58597285067876</v>
      </c>
      <c r="C48" s="33">
        <f>B48*10</f>
        <v>1585.8597285067876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312.09999999999991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29241.827112199997</v>
      </c>
      <c r="C5" s="17">
        <f>IF(ISERROR('Eigen informatie GS &amp; warmtenet'!B58),0,'Eigen informatie GS &amp; warmtenet'!B58)</f>
        <v>0</v>
      </c>
      <c r="D5" s="30">
        <f>SUM(D6:D12)</f>
        <v>30789.8097567324</v>
      </c>
      <c r="E5" s="17">
        <f>SUM(E6:E12)</f>
        <v>544.02679508642314</v>
      </c>
      <c r="F5" s="17">
        <f>SUM(F6:F12)</f>
        <v>7418.6141932814362</v>
      </c>
      <c r="G5" s="18"/>
      <c r="H5" s="17"/>
      <c r="I5" s="17"/>
      <c r="J5" s="17">
        <f>SUM(J6:J12)</f>
        <v>0</v>
      </c>
      <c r="K5" s="17"/>
      <c r="L5" s="17"/>
      <c r="M5" s="17"/>
      <c r="N5" s="17">
        <f>SUM(N6:N12)</f>
        <v>3257.5578972315102</v>
      </c>
      <c r="O5" s="17">
        <f>B38*B39*B40</f>
        <v>1.5633333333333335</v>
      </c>
      <c r="P5" s="17">
        <f>B46*B47*B48/1000-B46*B47*B48/1000/B49</f>
        <v>57.2</v>
      </c>
      <c r="R5" s="32"/>
    </row>
    <row r="6" spans="1:18">
      <c r="A6" s="32" t="s">
        <v>54</v>
      </c>
      <c r="B6" s="37">
        <f>B26</f>
        <v>6932.2293696999996</v>
      </c>
      <c r="C6" s="33"/>
      <c r="D6" s="37">
        <f>IF(ISERROR(TER_kantoor_gas_kWh/1000),0,TER_kantoor_gas_kWh/1000)*0.902</f>
        <v>11460.522930648001</v>
      </c>
      <c r="E6" s="33">
        <f>$C$26*'E Balans VL '!I12/100/3.6*1000000</f>
        <v>90.751421717728178</v>
      </c>
      <c r="F6" s="33">
        <f>$C$26*('E Balans VL '!L12+'E Balans VL '!N12)/100/3.6*1000000</f>
        <v>1767.6468542911111</v>
      </c>
      <c r="G6" s="34"/>
      <c r="H6" s="33"/>
      <c r="I6" s="33"/>
      <c r="J6" s="33">
        <f>$C$26*('E Balans VL '!D12+'E Balans VL '!E12)/100/3.6*1000000</f>
        <v>0</v>
      </c>
      <c r="K6" s="33"/>
      <c r="L6" s="33"/>
      <c r="M6" s="33"/>
      <c r="N6" s="33">
        <f>$C$26*'E Balans VL '!Y12/100/3.6*1000000</f>
        <v>6.9555732807927839</v>
      </c>
      <c r="O6" s="33"/>
      <c r="P6" s="33"/>
      <c r="R6" s="32"/>
    </row>
    <row r="7" spans="1:18">
      <c r="A7" s="32" t="s">
        <v>53</v>
      </c>
      <c r="B7" s="37">
        <f t="shared" ref="B7:B12" si="0">B27</f>
        <v>2205.0903245</v>
      </c>
      <c r="C7" s="33"/>
      <c r="D7" s="37">
        <f>IF(ISERROR(TER_horeca_gas_kWh/1000),0,TER_horeca_gas_kWh/1000)*0.902</f>
        <v>2296.3408980423997</v>
      </c>
      <c r="E7" s="33">
        <f>$C$27*'E Balans VL '!I9/100/3.6*1000000</f>
        <v>72.9750766264616</v>
      </c>
      <c r="F7" s="33">
        <f>$C$27*('E Balans VL '!L9+'E Balans VL '!N9)/100/3.6*1000000</f>
        <v>948.18038860523018</v>
      </c>
      <c r="G7" s="34"/>
      <c r="H7" s="33"/>
      <c r="I7" s="33"/>
      <c r="J7" s="33">
        <f>$C$27*('E Balans VL '!D9+'E Balans VL '!E9)/100/3.6*1000000</f>
        <v>0</v>
      </c>
      <c r="K7" s="33"/>
      <c r="L7" s="33"/>
      <c r="M7" s="33"/>
      <c r="N7" s="33">
        <f>$C$27*'E Balans VL '!Y9/100/3.6*1000000</f>
        <v>0.53079726253272108</v>
      </c>
      <c r="O7" s="33"/>
      <c r="P7" s="33"/>
      <c r="R7" s="32"/>
    </row>
    <row r="8" spans="1:18">
      <c r="A8" s="6" t="s">
        <v>52</v>
      </c>
      <c r="B8" s="37">
        <f t="shared" si="0"/>
        <v>6844.9219626000004</v>
      </c>
      <c r="C8" s="33"/>
      <c r="D8" s="37">
        <f>IF(ISERROR(TER_handel_gas_kWh/1000),0,TER_handel_gas_kWh/1000)*0.902</f>
        <v>4498.5625518746001</v>
      </c>
      <c r="E8" s="33">
        <f>$C$28*'E Balans VL '!I13/100/3.6*1000000</f>
        <v>216.03619586909417</v>
      </c>
      <c r="F8" s="33">
        <f>$C$28*('E Balans VL '!L13+'E Balans VL '!N13)/100/3.6*1000000</f>
        <v>1342.4097284583565</v>
      </c>
      <c r="G8" s="34"/>
      <c r="H8" s="33"/>
      <c r="I8" s="33"/>
      <c r="J8" s="33">
        <f>$C$28*('E Balans VL '!D13+'E Balans VL '!E13)/100/3.6*1000000</f>
        <v>0</v>
      </c>
      <c r="K8" s="33"/>
      <c r="L8" s="33"/>
      <c r="M8" s="33"/>
      <c r="N8" s="33">
        <f>$C$28*'E Balans VL '!Y13/100/3.6*1000000</f>
        <v>8.1235934443216671</v>
      </c>
      <c r="O8" s="33"/>
      <c r="P8" s="33"/>
      <c r="R8" s="32"/>
    </row>
    <row r="9" spans="1:18">
      <c r="A9" s="32" t="s">
        <v>51</v>
      </c>
      <c r="B9" s="37">
        <f t="shared" si="0"/>
        <v>697.47623852999993</v>
      </c>
      <c r="C9" s="33"/>
      <c r="D9" s="37">
        <f>IF(ISERROR(TER_gezond_gas_kWh/1000),0,TER_gezond_gas_kWh/1000)*0.902</f>
        <v>1247.6370278592001</v>
      </c>
      <c r="E9" s="33">
        <f>$C$29*'E Balans VL '!I10/100/3.6*1000000</f>
        <v>8.9297362746466921E-2</v>
      </c>
      <c r="F9" s="33">
        <f>$C$29*('E Balans VL '!L10+'E Balans VL '!N10)/100/3.6*1000000</f>
        <v>145.31353439405004</v>
      </c>
      <c r="G9" s="34"/>
      <c r="H9" s="33"/>
      <c r="I9" s="33"/>
      <c r="J9" s="33">
        <f>$C$29*('E Balans VL '!D10+'E Balans VL '!E10)/100/3.6*1000000</f>
        <v>0</v>
      </c>
      <c r="K9" s="33"/>
      <c r="L9" s="33"/>
      <c r="M9" s="33"/>
      <c r="N9" s="33">
        <f>$C$29*'E Balans VL '!Y10/100/3.6*1000000</f>
        <v>8.1921880921455994</v>
      </c>
      <c r="O9" s="33"/>
      <c r="P9" s="33"/>
      <c r="R9" s="32"/>
    </row>
    <row r="10" spans="1:18">
      <c r="A10" s="32" t="s">
        <v>50</v>
      </c>
      <c r="B10" s="37">
        <f t="shared" si="0"/>
        <v>3092.8852456</v>
      </c>
      <c r="C10" s="33"/>
      <c r="D10" s="37">
        <f>IF(ISERROR(TER_ander_gas_kWh/1000),0,TER_ander_gas_kWh/1000)*0.902</f>
        <v>1564.6259308372003</v>
      </c>
      <c r="E10" s="33">
        <f>$C$30*'E Balans VL '!I14/100/3.6*1000000</f>
        <v>4.6509720692052472</v>
      </c>
      <c r="F10" s="33">
        <f>$C$30*('E Balans VL '!L14+'E Balans VL '!N14)/100/3.6*1000000</f>
        <v>682.80936431905945</v>
      </c>
      <c r="G10" s="34"/>
      <c r="H10" s="33"/>
      <c r="I10" s="33"/>
      <c r="J10" s="33">
        <f>$C$30*('E Balans VL '!D14+'E Balans VL '!E14)/100/3.6*1000000</f>
        <v>0</v>
      </c>
      <c r="K10" s="33"/>
      <c r="L10" s="33"/>
      <c r="M10" s="33"/>
      <c r="N10" s="33">
        <f>$C$30*'E Balans VL '!Y14/100/3.6*1000000</f>
        <v>2437.4017168620444</v>
      </c>
      <c r="O10" s="33"/>
      <c r="P10" s="33"/>
      <c r="R10" s="32"/>
    </row>
    <row r="11" spans="1:18">
      <c r="A11" s="32" t="s">
        <v>55</v>
      </c>
      <c r="B11" s="37">
        <f t="shared" si="0"/>
        <v>454.14806176999997</v>
      </c>
      <c r="C11" s="33"/>
      <c r="D11" s="37">
        <f>IF(ISERROR(TER_onderwijs_gas_kWh/1000),0,TER_onderwijs_gas_kWh/1000)*0.902</f>
        <v>1673.4816350450001</v>
      </c>
      <c r="E11" s="33">
        <f>$C$31*'E Balans VL '!I11/100/3.6*1000000</f>
        <v>0.79979279425299521</v>
      </c>
      <c r="F11" s="33">
        <f>$C$31*('E Balans VL '!L11+'E Balans VL '!N11)/100/3.6*1000000</f>
        <v>209.6883779147951</v>
      </c>
      <c r="G11" s="34"/>
      <c r="H11" s="33"/>
      <c r="I11" s="33"/>
      <c r="J11" s="33">
        <f>$C$31*('E Balans VL '!D11+'E Balans VL '!E11)/100/3.6*1000000</f>
        <v>0</v>
      </c>
      <c r="K11" s="33"/>
      <c r="L11" s="33"/>
      <c r="M11" s="33"/>
      <c r="N11" s="33">
        <f>$C$31*'E Balans VL '!Y11/100/3.6*1000000</f>
        <v>0.84608411939055805</v>
      </c>
      <c r="O11" s="33"/>
      <c r="P11" s="33"/>
      <c r="R11" s="32"/>
    </row>
    <row r="12" spans="1:18">
      <c r="A12" s="32" t="s">
        <v>260</v>
      </c>
      <c r="B12" s="37">
        <f t="shared" si="0"/>
        <v>9015.0759094999994</v>
      </c>
      <c r="C12" s="33"/>
      <c r="D12" s="37">
        <f>IF(ISERROR(TER_rest_gas_kWh/1000),0,TER_rest_gas_kWh/1000)*0.902</f>
        <v>8048.638782426</v>
      </c>
      <c r="E12" s="33">
        <f>$C$32*'E Balans VL '!I8/100/3.6*1000000</f>
        <v>158.72403864693445</v>
      </c>
      <c r="F12" s="33">
        <f>$C$32*('E Balans VL '!L8+'E Balans VL '!N8)/100/3.6*1000000</f>
        <v>2322.5659452988339</v>
      </c>
      <c r="G12" s="34"/>
      <c r="H12" s="33"/>
      <c r="I12" s="33"/>
      <c r="J12" s="33">
        <f>$C$32*('E Balans VL '!D8+'E Balans VL '!E8)/100/3.6*1000000</f>
        <v>0</v>
      </c>
      <c r="K12" s="33"/>
      <c r="L12" s="33"/>
      <c r="M12" s="33"/>
      <c r="N12" s="33">
        <f>$C$32*'E Balans VL '!Y8/100/3.6*1000000</f>
        <v>795.50794417028226</v>
      </c>
      <c r="O12" s="33"/>
      <c r="P12" s="33"/>
      <c r="R12" s="32"/>
    </row>
    <row r="13" spans="1:18">
      <c r="A13" s="16" t="s">
        <v>491</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29309.327112199997</v>
      </c>
      <c r="C16" s="21">
        <f t="shared" ca="1" si="1"/>
        <v>96.428571428571431</v>
      </c>
      <c r="D16" s="21">
        <f t="shared" ca="1" si="1"/>
        <v>30596.952613875259</v>
      </c>
      <c r="E16" s="21">
        <f t="shared" si="1"/>
        <v>544.02679508642314</v>
      </c>
      <c r="F16" s="21">
        <f t="shared" ca="1" si="1"/>
        <v>7418.6141932814362</v>
      </c>
      <c r="G16" s="21">
        <f t="shared" si="1"/>
        <v>0</v>
      </c>
      <c r="H16" s="21">
        <f t="shared" si="1"/>
        <v>0</v>
      </c>
      <c r="I16" s="21">
        <f t="shared" si="1"/>
        <v>0</v>
      </c>
      <c r="J16" s="21">
        <f t="shared" si="1"/>
        <v>0</v>
      </c>
      <c r="K16" s="21">
        <f t="shared" si="1"/>
        <v>0</v>
      </c>
      <c r="L16" s="21">
        <f t="shared" ca="1" si="1"/>
        <v>0</v>
      </c>
      <c r="M16" s="21">
        <f t="shared" si="1"/>
        <v>0</v>
      </c>
      <c r="N16" s="21">
        <f t="shared" ca="1" si="1"/>
        <v>3257.5578972315102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0.19240770691949299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5639.3404210117269</v>
      </c>
      <c r="C20" s="23">
        <f t="shared" ref="C20:P20" ca="1" si="2">C16*C18</f>
        <v>22.915966386554619</v>
      </c>
      <c r="D20" s="23">
        <f t="shared" ca="1" si="2"/>
        <v>6180.5844280028023</v>
      </c>
      <c r="E20" s="23">
        <f t="shared" si="2"/>
        <v>123.49408248461806</v>
      </c>
      <c r="F20" s="23">
        <f t="shared" ca="1" si="2"/>
        <v>1980.7699896061436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6932.2293696999996</v>
      </c>
      <c r="C26" s="39">
        <f>IF(ISERROR(B26*3.6/1000000/'E Balans VL '!Z12*100),0,B26*3.6/1000000/'E Balans VL '!Z12*100)</f>
        <v>0.14849373853826484</v>
      </c>
      <c r="D26" s="237" t="s">
        <v>660</v>
      </c>
      <c r="F26" s="6"/>
    </row>
    <row r="27" spans="1:18">
      <c r="A27" s="231" t="s">
        <v>53</v>
      </c>
      <c r="B27" s="33">
        <f>IF(ISERROR(TER_horeca_ele_kWh/1000),0,TER_horeca_ele_kWh/1000)</f>
        <v>2205.0903245</v>
      </c>
      <c r="C27" s="39">
        <f>IF(ISERROR(B27*3.6/1000000/'E Balans VL '!Z9*100),0,B27*3.6/1000000/'E Balans VL '!Z9*100)</f>
        <v>0.17695083372539308</v>
      </c>
      <c r="D27" s="237" t="s">
        <v>660</v>
      </c>
      <c r="F27" s="6"/>
    </row>
    <row r="28" spans="1:18">
      <c r="A28" s="171" t="s">
        <v>52</v>
      </c>
      <c r="B28" s="33">
        <f>IF(ISERROR(TER_handel_ele_kWh/1000),0,TER_handel_ele_kWh/1000)</f>
        <v>6844.9219626000004</v>
      </c>
      <c r="C28" s="39">
        <f>IF(ISERROR(B28*3.6/1000000/'E Balans VL '!Z13*100),0,B28*3.6/1000000/'E Balans VL '!Z13*100)</f>
        <v>0.20188593699031285</v>
      </c>
      <c r="D28" s="237" t="s">
        <v>660</v>
      </c>
      <c r="F28" s="6"/>
    </row>
    <row r="29" spans="1:18">
      <c r="A29" s="231" t="s">
        <v>51</v>
      </c>
      <c r="B29" s="33">
        <f>IF(ISERROR(TER_gezond_ele_kWh/1000),0,TER_gezond_ele_kWh/1000)</f>
        <v>697.47623852999993</v>
      </c>
      <c r="C29" s="39">
        <f>IF(ISERROR(B29*3.6/1000000/'E Balans VL '!Z10*100),0,B29*3.6/1000000/'E Balans VL '!Z10*100)</f>
        <v>7.4471762235803318E-2</v>
      </c>
      <c r="D29" s="237" t="s">
        <v>660</v>
      </c>
      <c r="F29" s="6"/>
    </row>
    <row r="30" spans="1:18">
      <c r="A30" s="231" t="s">
        <v>50</v>
      </c>
      <c r="B30" s="33">
        <f>IF(ISERROR(TER_ander_ele_kWh/1000),0,TER_ander_ele_kWh/1000)</f>
        <v>3092.8852456</v>
      </c>
      <c r="C30" s="39">
        <f>IF(ISERROR(B30*3.6/1000000/'E Balans VL '!Z14*100),0,B30*3.6/1000000/'E Balans VL '!Z14*100)</f>
        <v>0.23361776787062766</v>
      </c>
      <c r="D30" s="237" t="s">
        <v>660</v>
      </c>
      <c r="F30" s="6"/>
    </row>
    <row r="31" spans="1:18">
      <c r="A31" s="231" t="s">
        <v>55</v>
      </c>
      <c r="B31" s="33">
        <f>IF(ISERROR(TER_onderwijs_ele_kWh/1000),0,TER_onderwijs_ele_kWh/1000)</f>
        <v>454.14806176999997</v>
      </c>
      <c r="C31" s="39">
        <f>IF(ISERROR(B31*3.6/1000000/'E Balans VL '!Z11*100),0,B31*3.6/1000000/'E Balans VL '!Z11*100)</f>
        <v>9.170765430488767E-2</v>
      </c>
      <c r="D31" s="237" t="s">
        <v>660</v>
      </c>
    </row>
    <row r="32" spans="1:18">
      <c r="A32" s="231" t="s">
        <v>260</v>
      </c>
      <c r="B32" s="33">
        <f>IF(ISERROR(TER_rest_ele_kWh/1000),0,TER_rest_ele_kWh/1000)</f>
        <v>9015.0759094999994</v>
      </c>
      <c r="C32" s="39">
        <f>IF(ISERROR(B32*3.6/1000000/'E Balans VL '!Z8*100),0,B32*3.6/1000000/'E Balans VL '!Z8*100)</f>
        <v>7.4747532692397214E-2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122242.4647937</v>
      </c>
      <c r="C5" s="17">
        <f>IF(ISERROR('Eigen informatie GS &amp; warmtenet'!B59),0,'Eigen informatie GS &amp; warmtenet'!B59)</f>
        <v>0</v>
      </c>
      <c r="D5" s="30">
        <f>SUM(D6:D15)</f>
        <v>152194.54301348637</v>
      </c>
      <c r="E5" s="17">
        <f>SUM(E6:E15)</f>
        <v>5302.7597472398247</v>
      </c>
      <c r="F5" s="17">
        <f>SUM(F6:F15)</f>
        <v>22205.973635555485</v>
      </c>
      <c r="G5" s="18"/>
      <c r="H5" s="17"/>
      <c r="I5" s="17"/>
      <c r="J5" s="17">
        <f>SUM(J6:J15)</f>
        <v>354.58127255295648</v>
      </c>
      <c r="K5" s="17"/>
      <c r="L5" s="17"/>
      <c r="M5" s="17"/>
      <c r="N5" s="17">
        <f>SUM(N6:N15)</f>
        <v>18846.683845400468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1702.9476073000001</v>
      </c>
      <c r="C8" s="33"/>
      <c r="D8" s="37">
        <f>IF( ISERROR(IND_metaal_Gas_kWH/1000),0,IND_metaal_Gas_kWH/1000)*0.902</f>
        <v>226.00997545698002</v>
      </c>
      <c r="E8" s="33">
        <f>C30*'E Balans VL '!I18/100/3.6*1000000</f>
        <v>61.277206676394009</v>
      </c>
      <c r="F8" s="33">
        <f>C30*'E Balans VL '!L18/100/3.6*1000000+C30*'E Balans VL '!N18/100/3.6*1000000</f>
        <v>743.62201648583198</v>
      </c>
      <c r="G8" s="34"/>
      <c r="H8" s="33"/>
      <c r="I8" s="33"/>
      <c r="J8" s="40">
        <f>C30*'E Balans VL '!D18/100/3.6*1000000+C30*'E Balans VL '!E18/100/3.6*1000000</f>
        <v>0</v>
      </c>
      <c r="K8" s="33"/>
      <c r="L8" s="33"/>
      <c r="M8" s="33"/>
      <c r="N8" s="33">
        <f>C30*'E Balans VL '!Y18/100/3.6*1000000</f>
        <v>85.350576802352379</v>
      </c>
      <c r="O8" s="33"/>
      <c r="P8" s="33"/>
      <c r="R8" s="32"/>
    </row>
    <row r="9" spans="1:18">
      <c r="A9" s="6" t="s">
        <v>33</v>
      </c>
      <c r="B9" s="37">
        <f t="shared" si="0"/>
        <v>9153.0317094000002</v>
      </c>
      <c r="C9" s="33"/>
      <c r="D9" s="37">
        <f>IF( ISERROR(IND_andere_gas_kWh/1000),0,IND_andere_gas_kWh/1000)*0.902</f>
        <v>1219.4178812794</v>
      </c>
      <c r="E9" s="33">
        <f>C31*'E Balans VL '!I19/100/3.6*1000000</f>
        <v>2335.6465990959914</v>
      </c>
      <c r="F9" s="33">
        <f>C31*'E Balans VL '!L19/100/3.6*1000000+C31*'E Balans VL '!N19/100/3.6*1000000</f>
        <v>7880.0723331841991</v>
      </c>
      <c r="G9" s="34"/>
      <c r="H9" s="33"/>
      <c r="I9" s="33"/>
      <c r="J9" s="40">
        <f>C31*'E Balans VL '!D19/100/3.6*1000000+C31*'E Balans VL '!E19/100/3.6*1000000</f>
        <v>0</v>
      </c>
      <c r="K9" s="33"/>
      <c r="L9" s="33"/>
      <c r="M9" s="33"/>
      <c r="N9" s="33">
        <f>C31*'E Balans VL '!Y19/100/3.6*1000000</f>
        <v>2862.4664741281945</v>
      </c>
      <c r="O9" s="33"/>
      <c r="P9" s="33"/>
      <c r="R9" s="32"/>
    </row>
    <row r="10" spans="1:18">
      <c r="A10" s="6" t="s">
        <v>41</v>
      </c>
      <c r="B10" s="37">
        <f t="shared" si="0"/>
        <v>16066.744635999999</v>
      </c>
      <c r="C10" s="33"/>
      <c r="D10" s="37">
        <f>IF( ISERROR(IND_voed_gas_kWh/1000),0,IND_voed_gas_kWh/1000)*0.902</f>
        <v>28651.382390158</v>
      </c>
      <c r="E10" s="33">
        <f>C32*'E Balans VL '!I20/100/3.6*1000000</f>
        <v>408.43871009540362</v>
      </c>
      <c r="F10" s="33">
        <f>C32*'E Balans VL '!L20/100/3.6*1000000+C32*'E Balans VL '!N20/100/3.6*1000000</f>
        <v>3635.6631284902091</v>
      </c>
      <c r="G10" s="34"/>
      <c r="H10" s="33"/>
      <c r="I10" s="33"/>
      <c r="J10" s="40">
        <f>C32*'E Balans VL '!D20/100/3.6*1000000+C32*'E Balans VL '!E20/100/3.6*1000000</f>
        <v>0</v>
      </c>
      <c r="K10" s="33"/>
      <c r="L10" s="33"/>
      <c r="M10" s="33"/>
      <c r="N10" s="33">
        <f>C32*'E Balans VL '!Y20/100/3.6*1000000</f>
        <v>6025.4647447434127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51582.696472999996</v>
      </c>
      <c r="C14" s="33"/>
      <c r="D14" s="37">
        <f>IF( ISERROR(IND_chemie_gas_kWh/1000),0,IND_chemie_gas_kWh/1000)*0.902</f>
        <v>97963.306368620004</v>
      </c>
      <c r="E14" s="33">
        <f>C36*'E Balans VL '!I24/100/3.6*1000000</f>
        <v>123.66143504441183</v>
      </c>
      <c r="F14" s="33">
        <f>C36*'E Balans VL '!L24/100/3.6*1000000+C36*'E Balans VL '!N24/100/3.6*1000000</f>
        <v>413.96280741991092</v>
      </c>
      <c r="G14" s="34"/>
      <c r="H14" s="33"/>
      <c r="I14" s="33"/>
      <c r="J14" s="40">
        <f>C36*'E Balans VL '!D24/100/3.6*1000000+C36*'E Balans VL '!E24/100/3.6*1000000</f>
        <v>0</v>
      </c>
      <c r="K14" s="33"/>
      <c r="L14" s="33"/>
      <c r="M14" s="33"/>
      <c r="N14" s="33">
        <f>C36*'E Balans VL '!Y24/100/3.6*1000000</f>
        <v>1066.1743460555285</v>
      </c>
      <c r="O14" s="33"/>
      <c r="P14" s="33"/>
      <c r="R14" s="32"/>
    </row>
    <row r="15" spans="1:18">
      <c r="A15" s="6" t="s">
        <v>270</v>
      </c>
      <c r="B15" s="37">
        <f t="shared" si="0"/>
        <v>43737.044368000003</v>
      </c>
      <c r="C15" s="33"/>
      <c r="D15" s="37">
        <f>IF( ISERROR(IND_rest_gas_kWh/1000),0,IND_rest_gas_kWh/1000)*0.902</f>
        <v>24134.426397971998</v>
      </c>
      <c r="E15" s="33">
        <f>C37*'E Balans VL '!I15/100/3.6*1000000</f>
        <v>2373.7357963276236</v>
      </c>
      <c r="F15" s="33">
        <f>C37*'E Balans VL '!L15/100/3.6*1000000+C37*'E Balans VL '!N15/100/3.6*1000000</f>
        <v>9532.6533499753314</v>
      </c>
      <c r="G15" s="34"/>
      <c r="H15" s="33"/>
      <c r="I15" s="33"/>
      <c r="J15" s="40">
        <f>C37*'E Balans VL '!D15/100/3.6*1000000+C37*'E Balans VL '!E15/100/3.6*1000000</f>
        <v>354.58127255295648</v>
      </c>
      <c r="K15" s="33"/>
      <c r="L15" s="33"/>
      <c r="M15" s="33"/>
      <c r="N15" s="33">
        <f>C37*'E Balans VL '!Y15/100/3.6*1000000</f>
        <v>8807.227703670982</v>
      </c>
      <c r="O15" s="33"/>
      <c r="P15" s="33"/>
      <c r="R15" s="32"/>
    </row>
    <row r="16" spans="1:18">
      <c r="A16" s="16" t="s">
        <v>491</v>
      </c>
      <c r="B16" s="247">
        <f>'lokale energieproductie'!N89+'lokale energieproductie'!N58</f>
        <v>14660.999999999998</v>
      </c>
      <c r="C16" s="247">
        <f>'lokale energieproductie'!O89+'lokale energieproductie'!O58</f>
        <v>20944.28571428571</v>
      </c>
      <c r="D16" s="310">
        <f>('lokale energieproductie'!P58+'lokale energieproductie'!P89)*(-1)</f>
        <v>-41888.57142857142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136903.4647937</v>
      </c>
      <c r="C18" s="21">
        <f>C5+C16</f>
        <v>20944.28571428571</v>
      </c>
      <c r="D18" s="21">
        <f>MAX((D5+D16),0)</f>
        <v>110305.97158491495</v>
      </c>
      <c r="E18" s="21">
        <f>MAX((E5+E16),0)</f>
        <v>5302.7597472398247</v>
      </c>
      <c r="F18" s="21">
        <f>MAX((F5+F16),0)</f>
        <v>22205.973635555485</v>
      </c>
      <c r="G18" s="21"/>
      <c r="H18" s="21"/>
      <c r="I18" s="21"/>
      <c r="J18" s="21">
        <f>MAX((J5+J16),0)</f>
        <v>354.58127255295648</v>
      </c>
      <c r="K18" s="21"/>
      <c r="L18" s="21">
        <f>MAX((L5+L16),0)</f>
        <v>0</v>
      </c>
      <c r="M18" s="21"/>
      <c r="N18" s="21">
        <f>MAX((N5+N16),0)</f>
        <v>18846.683845400468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0.19240770691949299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26341.281730289356</v>
      </c>
      <c r="C22" s="23">
        <f ca="1">C18*C20</f>
        <v>4977.3478991596621</v>
      </c>
      <c r="D22" s="23">
        <f>D18*D20</f>
        <v>22281.806260152822</v>
      </c>
      <c r="E22" s="23">
        <f>E18*E20</f>
        <v>1203.7264626234403</v>
      </c>
      <c r="F22" s="23">
        <f>F18*F20</f>
        <v>5928.9949606933151</v>
      </c>
      <c r="G22" s="23"/>
      <c r="H22" s="23"/>
      <c r="I22" s="23"/>
      <c r="J22" s="23">
        <f>J18*J20</f>
        <v>125.52177048374659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1702.9476073000001</v>
      </c>
      <c r="C30" s="39">
        <f>IF(ISERROR(B30*3.6/1000000/'E Balans VL '!Z18*100),0,B30*3.6/1000000/'E Balans VL '!Z18*100)</f>
        <v>0.36081808775241653</v>
      </c>
      <c r="D30" s="237" t="s">
        <v>660</v>
      </c>
    </row>
    <row r="31" spans="1:18">
      <c r="A31" s="6" t="s">
        <v>33</v>
      </c>
      <c r="B31" s="37">
        <f>IF( ISERROR(IND_ander_ele_kWh/1000),0,IND_ander_ele_kWh/1000)</f>
        <v>9153.0317094000002</v>
      </c>
      <c r="C31" s="39">
        <f>IF(ISERROR(B31*3.6/1000000/'E Balans VL '!Z19*100),0,B31*3.6/1000000/'E Balans VL '!Z19*100)</f>
        <v>0.38527188811863905</v>
      </c>
      <c r="D31" s="237" t="s">
        <v>660</v>
      </c>
    </row>
    <row r="32" spans="1:18">
      <c r="A32" s="171" t="s">
        <v>41</v>
      </c>
      <c r="B32" s="37">
        <f>IF( ISERROR(IND_voed_ele_kWh/1000),0,IND_voed_ele_kWh/1000)</f>
        <v>16066.744635999999</v>
      </c>
      <c r="C32" s="39">
        <f>IF(ISERROR(B32*3.6/1000000/'E Balans VL '!Z20*100),0,B32*3.6/1000000/'E Balans VL '!Z20*100)</f>
        <v>2.684131474156946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51582.696472999996</v>
      </c>
      <c r="C36" s="39">
        <f>IF(ISERROR(B36*3.6/1000000/'E Balans VL '!Z24*100),0,B36*3.6/1000000/'E Balans VL '!Z24*100)</f>
        <v>1.6754076448672963</v>
      </c>
      <c r="D36" s="237" t="s">
        <v>660</v>
      </c>
    </row>
    <row r="37" spans="1:5">
      <c r="A37" s="171" t="s">
        <v>270</v>
      </c>
      <c r="B37" s="37">
        <f>IF( ISERROR(IND_rest_ele_kWh/1000),0,IND_rest_ele_kWh/1000)</f>
        <v>43737.044368000003</v>
      </c>
      <c r="C37" s="39">
        <f>IF(ISERROR(B37*3.6/1000000/'E Balans VL '!Z15*100),0,B37*3.6/1000000/'E Balans VL '!Z15*100)</f>
        <v>0.35310609494267259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907.29323282999985</v>
      </c>
      <c r="C5" s="17">
        <f>'Eigen informatie GS &amp; warmtenet'!B60</f>
        <v>0</v>
      </c>
      <c r="D5" s="30">
        <f>IF(ISERROR(SUM(LB_lb_gas_kWh,LB_rest_gas_kWh,onbekend_gas_kWh)/1000),0,SUM(LB_lb_gas_kWh,LB_rest_gas_kWh,onbekend_gas_kWh)/1000)*0.902</f>
        <v>2026.2474256512839</v>
      </c>
      <c r="E5" s="17">
        <f>B17*'E Balans VL '!I25/3.6*1000000/100</f>
        <v>23.395608871427569</v>
      </c>
      <c r="F5" s="17">
        <f>B17*('E Balans VL '!L25/3.6*1000000+'E Balans VL '!N25/3.6*1000000)/100</f>
        <v>3316.3295515964114</v>
      </c>
      <c r="G5" s="18"/>
      <c r="H5" s="17"/>
      <c r="I5" s="17"/>
      <c r="J5" s="17">
        <f>('E Balans VL '!D25+'E Balans VL '!E25)/3.6*1000000*landbouw!B17/100</f>
        <v>130.61684924249823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907.29323282999985</v>
      </c>
      <c r="C8" s="21">
        <f>C5+C6</f>
        <v>0</v>
      </c>
      <c r="D8" s="21">
        <f>MAX((D5+D6),0)</f>
        <v>2026.2474256512839</v>
      </c>
      <c r="E8" s="21">
        <f>MAX((E5+E6),0)</f>
        <v>23.395608871427569</v>
      </c>
      <c r="F8" s="21">
        <f>MAX((F5+F6),0)</f>
        <v>3316.3295515964114</v>
      </c>
      <c r="G8" s="21"/>
      <c r="H8" s="21"/>
      <c r="I8" s="21"/>
      <c r="J8" s="21">
        <f>MAX((J5+J6),0)</f>
        <v>130.61684924249823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0.19240770691949299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174.57021043239394</v>
      </c>
      <c r="C12" s="23">
        <f ca="1">C8*C10</f>
        <v>0</v>
      </c>
      <c r="D12" s="23">
        <f>D8*D10</f>
        <v>409.30197998155938</v>
      </c>
      <c r="E12" s="23">
        <f>E8*E10</f>
        <v>5.3108032138140588</v>
      </c>
      <c r="F12" s="23">
        <f>F8*F10</f>
        <v>885.45999027624191</v>
      </c>
      <c r="G12" s="23"/>
      <c r="H12" s="23"/>
      <c r="I12" s="23"/>
      <c r="J12" s="23">
        <f>J8*J10</f>
        <v>46.23836463184437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0.12793435560464783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102.56067865694502</v>
      </c>
      <c r="C26" s="247">
        <f>B26*'GWP N2O_CH4'!B5</f>
        <v>2153.7742517958454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26.070026975809565</v>
      </c>
      <c r="C27" s="247">
        <f>B27*'GWP N2O_CH4'!B5</f>
        <v>547.4705664920009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1.9238067521094802</v>
      </c>
      <c r="C28" s="247">
        <f>B28*'GWP N2O_CH4'!B4</f>
        <v>596.3800931539389</v>
      </c>
      <c r="D28" s="50"/>
    </row>
    <row r="29" spans="1:4">
      <c r="A29" s="41" t="s">
        <v>277</v>
      </c>
      <c r="B29" s="247">
        <f>B34*'ha_N2O bodem landbouw'!B4</f>
        <v>7.8710428535991559</v>
      </c>
      <c r="C29" s="247">
        <f>B29*'GWP N2O_CH4'!B4</f>
        <v>2440.0232846157382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1.7714123669707335E-3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3.2564489387127858E-4</v>
      </c>
      <c r="C5" s="463" t="s">
        <v>211</v>
      </c>
      <c r="D5" s="448">
        <f>SUM(D6:D11)</f>
        <v>7.3682433363215279E-4</v>
      </c>
      <c r="E5" s="448">
        <f>SUM(E6:E11)</f>
        <v>2.9633599004915269E-3</v>
      </c>
      <c r="F5" s="461" t="s">
        <v>211</v>
      </c>
      <c r="G5" s="448">
        <f>SUM(G6:G11)</f>
        <v>1.2343591922750463</v>
      </c>
      <c r="H5" s="448">
        <f>SUM(H6:H11)</f>
        <v>0.19948677970508016</v>
      </c>
      <c r="I5" s="463" t="s">
        <v>211</v>
      </c>
      <c r="J5" s="463" t="s">
        <v>211</v>
      </c>
      <c r="K5" s="463" t="s">
        <v>211</v>
      </c>
      <c r="L5" s="463" t="s">
        <v>211</v>
      </c>
      <c r="M5" s="448">
        <f>SUM(M6:M11)</f>
        <v>4.4864061677392507E-2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2.1064825084598726E-4</v>
      </c>
      <c r="C6" s="449"/>
      <c r="D6" s="962">
        <f>vkm_2011_GW_PW*SUMIFS(TableVerdeelsleutelVkm[CNG],TableVerdeelsleutelVkm[Voertuigtype],"Lichte voertuigen")*SUMIFS(TableECFTransport[EnergieConsumptieFactor (PJ per km)],TableECFTransport[Index],CONCATENATE($A6,"_CNG_CNG"))</f>
        <v>4.1856176425832185E-4</v>
      </c>
      <c r="E6" s="962">
        <f>vkm_2011_GW_PW*SUMIFS(TableVerdeelsleutelVkm[LPG],TableVerdeelsleutelVkm[Voertuigtype],"Lichte voertuigen")*SUMIFS(TableECFTransport[EnergieConsumptieFactor (PJ per km)],TableECFTransport[Index],CONCATENATE($A6,"_LPG_LPG"))</f>
        <v>1.647190585501079E-3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0.39164540282748395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0.11331726173701949</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1.5735102917172058E-2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0.36122531334298574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1.1669120541001713E-4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1.1381656921231156E-2</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5.4971007343378956E-5</v>
      </c>
      <c r="C8" s="449"/>
      <c r="D8" s="451">
        <f>vkm_2011_NGW_PW*SUMIFS(TableVerdeelsleutelVkm[CNG],TableVerdeelsleutelVkm[Voertuigtype],"Lichte voertuigen")*SUMIFS(TableECFTransport[EnergieConsumptieFactor (PJ per km)],TableECFTransport[Index],CONCATENATE($A8,"_CNG_CNG"))</f>
        <v>1.934035703620372E-4</v>
      </c>
      <c r="E8" s="451">
        <f>vkm_2011_NGW_PW*SUMIFS(TableVerdeelsleutelVkm[LPG],TableVerdeelsleutelVkm[Voertuigtype],"Lichte voertuigen")*SUMIFS(TableECFTransport[EnergieConsumptieFactor (PJ per km)],TableECFTransport[Index],CONCATENATE($A8,"_LPG_LPG"))</f>
        <v>7.03894489156118E-4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0.15628436378715557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5.0771269292549187E-2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6.4455610625817937E-3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0.10812542206164899</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3.3033233246678665E-5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3.4068097449906146E-3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6.0025635681912364E-5</v>
      </c>
      <c r="C10" s="449"/>
      <c r="D10" s="451">
        <f>vkm_2011_SW_PW*SUMIFS(TableVerdeelsleutelVkm[CNG],TableVerdeelsleutelVkm[Voertuigtype],"Lichte voertuigen")*SUMIFS(TableECFTransport[EnergieConsumptieFactor (PJ per km)],TableECFTransport[Index],CONCATENATE($A10,"_CNG_CNG"))</f>
        <v>1.2485899901179369E-4</v>
      </c>
      <c r="E10" s="451">
        <f>vkm_2011_SW_PW*SUMIFS(TableVerdeelsleutelVkm[LPG],TableVerdeelsleutelVkm[Voertuigtype],"Lichte voertuigen")*SUMIFS(TableECFTransport[EnergieConsumptieFactor (PJ per km)],TableECFTransport[Index],CONCATENATE($A10,"_LPG_LPG"))</f>
        <v>6.1227482583432963E-4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0.13040750799353604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3.5218357596032597E-2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5.1639896621153893E-3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8.6671182262235816E-2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3.0166640822190155E-5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2.7309413693014915E-3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90.456914964244049</v>
      </c>
      <c r="C14" s="21"/>
      <c r="D14" s="21">
        <f t="shared" ref="D14:M14" si="0">((D5)*10^9/3600)+D12</f>
        <v>204.67342600893133</v>
      </c>
      <c r="E14" s="21">
        <f t="shared" si="0"/>
        <v>823.15552791431298</v>
      </c>
      <c r="F14" s="21"/>
      <c r="G14" s="21">
        <f t="shared" si="0"/>
        <v>342877.55340973509</v>
      </c>
      <c r="H14" s="21">
        <f t="shared" si="0"/>
        <v>55412.994362522266</v>
      </c>
      <c r="I14" s="21"/>
      <c r="J14" s="21"/>
      <c r="K14" s="21"/>
      <c r="L14" s="21"/>
      <c r="M14" s="21">
        <f t="shared" si="0"/>
        <v>12462.239354831252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0.19240770691949299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17.40460758328177</v>
      </c>
      <c r="C18" s="23"/>
      <c r="D18" s="23">
        <f t="shared" ref="D18:M18" si="1">D14*D16</f>
        <v>41.344032053804128</v>
      </c>
      <c r="E18" s="23">
        <f t="shared" si="1"/>
        <v>186.85630483654904</v>
      </c>
      <c r="F18" s="23"/>
      <c r="G18" s="23">
        <f t="shared" si="1"/>
        <v>91548.306760399268</v>
      </c>
      <c r="H18" s="23">
        <f t="shared" si="1"/>
        <v>13797.835596268043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5.7896593571833037E-3</v>
      </c>
      <c r="H50" s="321">
        <f t="shared" si="2"/>
        <v>0</v>
      </c>
      <c r="I50" s="321">
        <f t="shared" si="2"/>
        <v>0</v>
      </c>
      <c r="J50" s="321">
        <f t="shared" si="2"/>
        <v>0</v>
      </c>
      <c r="K50" s="321">
        <f t="shared" si="2"/>
        <v>0</v>
      </c>
      <c r="L50" s="321">
        <f t="shared" si="2"/>
        <v>0</v>
      </c>
      <c r="M50" s="321">
        <f t="shared" si="2"/>
        <v>1.7958228073761581E-4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5.7896593571833037E-3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1.7958228073761581E-4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1608.2387103286956</v>
      </c>
      <c r="H54" s="21">
        <f t="shared" si="3"/>
        <v>0</v>
      </c>
      <c r="I54" s="21">
        <f t="shared" si="3"/>
        <v>0</v>
      </c>
      <c r="J54" s="21">
        <f t="shared" si="3"/>
        <v>0</v>
      </c>
      <c r="K54" s="21">
        <f t="shared" si="3"/>
        <v>0</v>
      </c>
      <c r="L54" s="21">
        <f t="shared" si="3"/>
        <v>0</v>
      </c>
      <c r="M54" s="21">
        <f t="shared" si="3"/>
        <v>49.883966871559942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0.19240770691949299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429.39973565776177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16226.409610734512</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10393.337033904414</v>
      </c>
      <c r="C6" s="1203"/>
      <c r="D6" s="1188"/>
      <c r="E6" s="1188"/>
      <c r="F6" s="1206"/>
      <c r="G6" s="1209"/>
      <c r="H6" s="1200"/>
      <c r="I6" s="1188"/>
      <c r="J6" s="1188"/>
      <c r="K6" s="1188"/>
      <c r="L6" s="1192"/>
      <c r="M6" s="575"/>
      <c r="N6" s="1166"/>
      <c r="O6" s="1167"/>
      <c r="Q6" s="573"/>
      <c r="R6" s="1154"/>
      <c r="S6" s="1154"/>
    </row>
    <row r="7" spans="1:19" s="563" customFormat="1">
      <c r="A7" s="576" t="s">
        <v>252</v>
      </c>
      <c r="B7" s="577">
        <f>N57</f>
        <v>14728.499999999998</v>
      </c>
      <c r="C7" s="578">
        <f>B100</f>
        <v>17327.647058823524</v>
      </c>
      <c r="D7" s="579"/>
      <c r="E7" s="579">
        <f>E100</f>
        <v>0</v>
      </c>
      <c r="F7" s="580"/>
      <c r="G7" s="581"/>
      <c r="H7" s="579">
        <f>I100</f>
        <v>0</v>
      </c>
      <c r="I7" s="579">
        <f>G100+F100</f>
        <v>0</v>
      </c>
      <c r="J7" s="579">
        <f>H100+D100+C100</f>
        <v>0</v>
      </c>
      <c r="K7" s="579"/>
      <c r="L7" s="582"/>
      <c r="M7" s="583">
        <f>C7*$C$11+D7*$D$11+E7*$E$11+F7*$F$11+G7*$G$11+H7*$H$11+I7*$I$11+J7*$J$11</f>
        <v>3500.1847058823523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41348.246644638923</v>
      </c>
      <c r="C9" s="594">
        <f t="shared" ref="C9:L9" si="0">SUM(C7:C8)</f>
        <v>17327.647058823524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3500.1847058823523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21040.714285714283</v>
      </c>
      <c r="C16" s="610">
        <f>B101</f>
        <v>24753.781512605034</v>
      </c>
      <c r="D16" s="611"/>
      <c r="E16" s="611">
        <f>E101</f>
        <v>0</v>
      </c>
      <c r="F16" s="612"/>
      <c r="G16" s="613"/>
      <c r="H16" s="610">
        <f>I101</f>
        <v>0</v>
      </c>
      <c r="I16" s="611">
        <f>G101+F101</f>
        <v>0</v>
      </c>
      <c r="J16" s="611">
        <f>H101+D101+C101</f>
        <v>0</v>
      </c>
      <c r="K16" s="611"/>
      <c r="L16" s="614"/>
      <c r="M16" s="615">
        <f>C16*$C$21+E16*$E$21+H16*$H$21+I16*$I$21+J16*$J$21+D16*$D$21+F16*$F$21+G16*$G$21+K16*$K$21+L16*$L$21</f>
        <v>5000.2638655462169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21040.714285714283</v>
      </c>
      <c r="C19" s="593">
        <f>SUM(C16:C18)</f>
        <v>24753.781512605034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5000.2638655462169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12030</v>
      </c>
      <c r="C27" s="851">
        <v>2870</v>
      </c>
      <c r="D27" s="672" t="s">
        <v>818</v>
      </c>
      <c r="E27" s="671" t="s">
        <v>819</v>
      </c>
      <c r="F27" s="671" t="s">
        <v>820</v>
      </c>
      <c r="G27" s="671" t="s">
        <v>821</v>
      </c>
      <c r="H27" s="671" t="s">
        <v>822</v>
      </c>
      <c r="I27" s="671" t="s">
        <v>819</v>
      </c>
      <c r="J27" s="850">
        <v>39510</v>
      </c>
      <c r="K27" s="850">
        <v>39513</v>
      </c>
      <c r="L27" s="671" t="s">
        <v>823</v>
      </c>
      <c r="M27" s="671">
        <v>2014</v>
      </c>
      <c r="N27" s="671">
        <v>9062.9999999999982</v>
      </c>
      <c r="O27" s="671">
        <v>12947.142857142855</v>
      </c>
      <c r="P27" s="671">
        <v>25894.28571428571</v>
      </c>
      <c r="Q27" s="671">
        <v>0</v>
      </c>
      <c r="R27" s="671">
        <v>0</v>
      </c>
      <c r="S27" s="671">
        <v>0</v>
      </c>
      <c r="T27" s="671">
        <v>0</v>
      </c>
      <c r="U27" s="671">
        <v>0</v>
      </c>
      <c r="V27" s="671">
        <v>0</v>
      </c>
      <c r="W27" s="671">
        <v>0</v>
      </c>
      <c r="X27" s="671">
        <v>300</v>
      </c>
      <c r="Y27" s="671" t="s">
        <v>34</v>
      </c>
      <c r="Z27" s="673" t="s">
        <v>389</v>
      </c>
    </row>
    <row r="28" spans="1:26" s="625" customFormat="1" ht="25.5">
      <c r="A28" s="624"/>
      <c r="B28" s="851">
        <v>12030</v>
      </c>
      <c r="C28" s="851">
        <v>2870</v>
      </c>
      <c r="D28" s="672" t="s">
        <v>824</v>
      </c>
      <c r="E28" s="671" t="s">
        <v>825</v>
      </c>
      <c r="F28" s="671" t="s">
        <v>826</v>
      </c>
      <c r="G28" s="671" t="s">
        <v>821</v>
      </c>
      <c r="H28" s="671" t="s">
        <v>822</v>
      </c>
      <c r="I28" s="671" t="s">
        <v>825</v>
      </c>
      <c r="J28" s="850">
        <v>40934</v>
      </c>
      <c r="K28" s="850">
        <v>40934</v>
      </c>
      <c r="L28" s="671" t="s">
        <v>823</v>
      </c>
      <c r="M28" s="671">
        <v>1189</v>
      </c>
      <c r="N28" s="671">
        <v>5350.5</v>
      </c>
      <c r="O28" s="671">
        <v>7643.5714285714284</v>
      </c>
      <c r="P28" s="671">
        <v>15287.142857142859</v>
      </c>
      <c r="Q28" s="671">
        <v>0</v>
      </c>
      <c r="R28" s="671">
        <v>0</v>
      </c>
      <c r="S28" s="671">
        <v>0</v>
      </c>
      <c r="T28" s="671">
        <v>0</v>
      </c>
      <c r="U28" s="671">
        <v>0</v>
      </c>
      <c r="V28" s="671">
        <v>0</v>
      </c>
      <c r="W28" s="671">
        <v>0</v>
      </c>
      <c r="X28" s="671">
        <v>300</v>
      </c>
      <c r="Y28" s="671" t="s">
        <v>827</v>
      </c>
      <c r="Z28" s="673" t="s">
        <v>389</v>
      </c>
    </row>
    <row r="29" spans="1:26" s="625" customFormat="1" ht="25.5">
      <c r="A29" s="624"/>
      <c r="B29" s="851">
        <v>12030</v>
      </c>
      <c r="C29" s="851">
        <v>2870</v>
      </c>
      <c r="D29" s="672" t="s">
        <v>828</v>
      </c>
      <c r="E29" s="671" t="s">
        <v>829</v>
      </c>
      <c r="F29" s="671" t="s">
        <v>830</v>
      </c>
      <c r="G29" s="671" t="s">
        <v>831</v>
      </c>
      <c r="H29" s="671" t="s">
        <v>822</v>
      </c>
      <c r="I29" s="671" t="s">
        <v>829</v>
      </c>
      <c r="J29" s="850">
        <v>41241</v>
      </c>
      <c r="K29" s="850">
        <v>41311</v>
      </c>
      <c r="L29" s="671" t="s">
        <v>823</v>
      </c>
      <c r="M29" s="671">
        <v>55</v>
      </c>
      <c r="N29" s="671">
        <v>247.5</v>
      </c>
      <c r="O29" s="671">
        <v>353.57142857142856</v>
      </c>
      <c r="P29" s="671">
        <v>707.14285714285722</v>
      </c>
      <c r="Q29" s="671">
        <v>0</v>
      </c>
      <c r="R29" s="671">
        <v>0</v>
      </c>
      <c r="S29" s="671">
        <v>0</v>
      </c>
      <c r="T29" s="671">
        <v>0</v>
      </c>
      <c r="U29" s="671">
        <v>0</v>
      </c>
      <c r="V29" s="671">
        <v>0</v>
      </c>
      <c r="W29" s="671">
        <v>0</v>
      </c>
      <c r="X29" s="671">
        <v>500</v>
      </c>
      <c r="Y29" s="671" t="s">
        <v>41</v>
      </c>
      <c r="Z29" s="673" t="s">
        <v>389</v>
      </c>
    </row>
    <row r="30" spans="1:26" s="625" customFormat="1" ht="25.5">
      <c r="A30" s="624"/>
      <c r="B30" s="851">
        <v>12030</v>
      </c>
      <c r="C30" s="851">
        <v>2870</v>
      </c>
      <c r="D30" s="672" t="s">
        <v>832</v>
      </c>
      <c r="E30" s="671" t="s">
        <v>833</v>
      </c>
      <c r="F30" s="671" t="s">
        <v>834</v>
      </c>
      <c r="G30" s="671" t="s">
        <v>821</v>
      </c>
      <c r="H30" s="671" t="s">
        <v>822</v>
      </c>
      <c r="I30" s="671" t="s">
        <v>833</v>
      </c>
      <c r="J30" s="850">
        <v>41699</v>
      </c>
      <c r="K30" s="850">
        <v>41712</v>
      </c>
      <c r="L30" s="671" t="s">
        <v>823</v>
      </c>
      <c r="M30" s="671">
        <v>15</v>
      </c>
      <c r="N30" s="671">
        <v>67.5</v>
      </c>
      <c r="O30" s="671">
        <v>96.428571428571431</v>
      </c>
      <c r="P30" s="671">
        <v>192.85714285714286</v>
      </c>
      <c r="Q30" s="671">
        <v>0</v>
      </c>
      <c r="R30" s="671">
        <v>0</v>
      </c>
      <c r="S30" s="671">
        <v>0</v>
      </c>
      <c r="T30" s="671">
        <v>0</v>
      </c>
      <c r="U30" s="671">
        <v>0</v>
      </c>
      <c r="V30" s="671">
        <v>0</v>
      </c>
      <c r="W30" s="671">
        <v>0</v>
      </c>
      <c r="X30" s="671">
        <v>1101</v>
      </c>
      <c r="Y30" s="671" t="s">
        <v>52</v>
      </c>
      <c r="Z30" s="673" t="s">
        <v>156</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3273</v>
      </c>
      <c r="N57" s="629">
        <f>SUM(N27:N56)</f>
        <v>14728.499999999998</v>
      </c>
      <c r="O57" s="629">
        <f t="shared" ref="O57:W57" si="2">SUM(O27:O56)</f>
        <v>21040.714285714283</v>
      </c>
      <c r="P57" s="629">
        <f t="shared" si="2"/>
        <v>42081.428571428565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3258</v>
      </c>
      <c r="N58" s="629">
        <f t="shared" ref="N58:W58" si="3">SUMIF($Z$27:$Z$56,"industrie",N27:N56)</f>
        <v>14660.999999999998</v>
      </c>
      <c r="O58" s="629">
        <f t="shared" si="3"/>
        <v>20944.28571428571</v>
      </c>
      <c r="P58" s="629">
        <f t="shared" si="3"/>
        <v>41888.57142857142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17327.647058823524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24753.781512605034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30858.690112199998</v>
      </c>
      <c r="D10" s="718">
        <f ca="1">tertiair!C16</f>
        <v>96.428571428571431</v>
      </c>
      <c r="E10" s="718">
        <f ca="1">tertiair!D16</f>
        <v>30596.952613875259</v>
      </c>
      <c r="F10" s="718">
        <f>tertiair!E16</f>
        <v>544.02679508642314</v>
      </c>
      <c r="G10" s="718">
        <f ca="1">tertiair!F16</f>
        <v>7418.6141932814362</v>
      </c>
      <c r="H10" s="718">
        <f>tertiair!G16</f>
        <v>0</v>
      </c>
      <c r="I10" s="718">
        <f>tertiair!H16</f>
        <v>0</v>
      </c>
      <c r="J10" s="718">
        <f>tertiair!I16</f>
        <v>0</v>
      </c>
      <c r="K10" s="718">
        <f>tertiair!J16</f>
        <v>0</v>
      </c>
      <c r="L10" s="718">
        <f>tertiair!K16</f>
        <v>0</v>
      </c>
      <c r="M10" s="718">
        <f ca="1">tertiair!L16</f>
        <v>0</v>
      </c>
      <c r="N10" s="718">
        <f>tertiair!M16</f>
        <v>0</v>
      </c>
      <c r="O10" s="718">
        <f ca="1">tertiair!N16</f>
        <v>3257.5578972315102</v>
      </c>
      <c r="P10" s="718">
        <f>tertiair!O16</f>
        <v>1.5633333333333335</v>
      </c>
      <c r="Q10" s="719">
        <f>tertiair!P16</f>
        <v>57.2</v>
      </c>
      <c r="R10" s="721">
        <f ca="1">SUM(C10:Q10)</f>
        <v>72831.033516436539</v>
      </c>
      <c r="S10" s="67"/>
    </row>
    <row r="11" spans="1:19" s="474" customFormat="1">
      <c r="A11" s="870" t="s">
        <v>225</v>
      </c>
      <c r="B11" s="875"/>
      <c r="C11" s="718">
        <f>huishoudens!B8</f>
        <v>28418.327091192154</v>
      </c>
      <c r="D11" s="718">
        <f>huishoudens!C8</f>
        <v>0</v>
      </c>
      <c r="E11" s="718">
        <f>huishoudens!D8</f>
        <v>74836.333173096005</v>
      </c>
      <c r="F11" s="718">
        <f>huishoudens!E8</f>
        <v>3299.9293602032558</v>
      </c>
      <c r="G11" s="718">
        <f>huishoudens!F8</f>
        <v>7597.186306544987</v>
      </c>
      <c r="H11" s="718">
        <f>huishoudens!G8</f>
        <v>0</v>
      </c>
      <c r="I11" s="718">
        <f>huishoudens!H8</f>
        <v>0</v>
      </c>
      <c r="J11" s="718">
        <f>huishoudens!I8</f>
        <v>0</v>
      </c>
      <c r="K11" s="718">
        <f>huishoudens!J8</f>
        <v>0</v>
      </c>
      <c r="L11" s="718">
        <f>huishoudens!K8</f>
        <v>0</v>
      </c>
      <c r="M11" s="718">
        <f>huishoudens!L8</f>
        <v>0</v>
      </c>
      <c r="N11" s="718">
        <f>huishoudens!M8</f>
        <v>0</v>
      </c>
      <c r="O11" s="718">
        <f>huishoudens!N8</f>
        <v>10186.975051617805</v>
      </c>
      <c r="P11" s="718">
        <f>huishoudens!O8</f>
        <v>306.41333333333336</v>
      </c>
      <c r="Q11" s="719">
        <f>huishoudens!P8</f>
        <v>610.13333333333333</v>
      </c>
      <c r="R11" s="721">
        <f>SUM(C11:Q11)</f>
        <v>125255.29764932087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136903.4647937</v>
      </c>
      <c r="D13" s="718">
        <f>industrie!C18</f>
        <v>20944.28571428571</v>
      </c>
      <c r="E13" s="718">
        <f>industrie!D18</f>
        <v>110305.97158491495</v>
      </c>
      <c r="F13" s="718">
        <f>industrie!E18</f>
        <v>5302.7597472398247</v>
      </c>
      <c r="G13" s="718">
        <f>industrie!F18</f>
        <v>22205.973635555485</v>
      </c>
      <c r="H13" s="718">
        <f>industrie!G18</f>
        <v>0</v>
      </c>
      <c r="I13" s="718">
        <f>industrie!H18</f>
        <v>0</v>
      </c>
      <c r="J13" s="718">
        <f>industrie!I18</f>
        <v>0</v>
      </c>
      <c r="K13" s="718">
        <f>industrie!J18</f>
        <v>354.58127255295648</v>
      </c>
      <c r="L13" s="718">
        <f>industrie!K18</f>
        <v>0</v>
      </c>
      <c r="M13" s="718">
        <f>industrie!L18</f>
        <v>0</v>
      </c>
      <c r="N13" s="718">
        <f>industrie!M18</f>
        <v>0</v>
      </c>
      <c r="O13" s="718">
        <f>industrie!N18</f>
        <v>18846.683845400468</v>
      </c>
      <c r="P13" s="718">
        <f>industrie!O18</f>
        <v>0</v>
      </c>
      <c r="Q13" s="719">
        <f>industrie!P18</f>
        <v>0</v>
      </c>
      <c r="R13" s="721">
        <f>SUM(C13:Q13)</f>
        <v>314863.72059364937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196180.48199709214</v>
      </c>
      <c r="D15" s="723">
        <f t="shared" ref="D15:Q15" ca="1" si="0">SUM(D9:D14)</f>
        <v>21040.714285714283</v>
      </c>
      <c r="E15" s="723">
        <f t="shared" ca="1" si="0"/>
        <v>215739.25737188623</v>
      </c>
      <c r="F15" s="723">
        <f t="shared" si="0"/>
        <v>9146.7159025295041</v>
      </c>
      <c r="G15" s="723">
        <f t="shared" ca="1" si="0"/>
        <v>37221.774135381907</v>
      </c>
      <c r="H15" s="723">
        <f t="shared" si="0"/>
        <v>0</v>
      </c>
      <c r="I15" s="723">
        <f t="shared" si="0"/>
        <v>0</v>
      </c>
      <c r="J15" s="723">
        <f t="shared" si="0"/>
        <v>0</v>
      </c>
      <c r="K15" s="723">
        <f t="shared" si="0"/>
        <v>354.58127255295648</v>
      </c>
      <c r="L15" s="723">
        <f t="shared" si="0"/>
        <v>0</v>
      </c>
      <c r="M15" s="723">
        <f t="shared" ca="1" si="0"/>
        <v>0</v>
      </c>
      <c r="N15" s="723">
        <f t="shared" si="0"/>
        <v>0</v>
      </c>
      <c r="O15" s="723">
        <f t="shared" ca="1" si="0"/>
        <v>32291.216794249784</v>
      </c>
      <c r="P15" s="723">
        <f t="shared" si="0"/>
        <v>307.97666666666669</v>
      </c>
      <c r="Q15" s="724">
        <f t="shared" si="0"/>
        <v>667.33333333333337</v>
      </c>
      <c r="R15" s="725">
        <f ca="1">SUM(R9:R14)</f>
        <v>512950.05175940681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1608.2387103286956</v>
      </c>
      <c r="I18" s="718">
        <f>transport!H54</f>
        <v>0</v>
      </c>
      <c r="J18" s="718">
        <f>transport!I54</f>
        <v>0</v>
      </c>
      <c r="K18" s="718">
        <f>transport!J54</f>
        <v>0</v>
      </c>
      <c r="L18" s="718">
        <f>transport!K54</f>
        <v>0</v>
      </c>
      <c r="M18" s="718">
        <f>transport!L54</f>
        <v>0</v>
      </c>
      <c r="N18" s="718">
        <f>transport!M54</f>
        <v>49.883966871559942</v>
      </c>
      <c r="O18" s="718">
        <f>transport!N54</f>
        <v>0</v>
      </c>
      <c r="P18" s="718">
        <f>transport!O54</f>
        <v>0</v>
      </c>
      <c r="Q18" s="719">
        <f>transport!P54</f>
        <v>0</v>
      </c>
      <c r="R18" s="721">
        <f>SUM(C18:Q18)</f>
        <v>1658.1226772002556</v>
      </c>
      <c r="S18" s="67"/>
    </row>
    <row r="19" spans="1:19" s="474" customFormat="1" ht="15" thickBot="1">
      <c r="A19" s="870" t="s">
        <v>307</v>
      </c>
      <c r="B19" s="875"/>
      <c r="C19" s="727">
        <f>transport!B14</f>
        <v>90.456914964244049</v>
      </c>
      <c r="D19" s="727">
        <f>transport!C14</f>
        <v>0</v>
      </c>
      <c r="E19" s="727">
        <f>transport!D14</f>
        <v>204.67342600893133</v>
      </c>
      <c r="F19" s="727">
        <f>transport!E14</f>
        <v>823.15552791431298</v>
      </c>
      <c r="G19" s="727">
        <f>transport!F14</f>
        <v>0</v>
      </c>
      <c r="H19" s="727">
        <f>transport!G14</f>
        <v>342877.55340973509</v>
      </c>
      <c r="I19" s="727">
        <f>transport!H14</f>
        <v>55412.994362522266</v>
      </c>
      <c r="J19" s="727">
        <f>transport!I14</f>
        <v>0</v>
      </c>
      <c r="K19" s="727">
        <f>transport!J14</f>
        <v>0</v>
      </c>
      <c r="L19" s="727">
        <f>transport!K14</f>
        <v>0</v>
      </c>
      <c r="M19" s="727">
        <f>transport!L14</f>
        <v>0</v>
      </c>
      <c r="N19" s="727">
        <f>transport!M14</f>
        <v>12462.239354831252</v>
      </c>
      <c r="O19" s="727">
        <f>transport!N14</f>
        <v>0</v>
      </c>
      <c r="P19" s="727">
        <f>transport!O14</f>
        <v>0</v>
      </c>
      <c r="Q19" s="728">
        <f>transport!P14</f>
        <v>0</v>
      </c>
      <c r="R19" s="729">
        <f>SUM(C19:Q19)</f>
        <v>411871.07299597608</v>
      </c>
      <c r="S19" s="67"/>
    </row>
    <row r="20" spans="1:19" s="474" customFormat="1" ht="15.75" thickBot="1">
      <c r="A20" s="730" t="s">
        <v>230</v>
      </c>
      <c r="B20" s="878"/>
      <c r="C20" s="873">
        <f>SUM(C17:C19)</f>
        <v>90.456914964244049</v>
      </c>
      <c r="D20" s="731">
        <f t="shared" ref="D20:R20" si="1">SUM(D17:D19)</f>
        <v>0</v>
      </c>
      <c r="E20" s="731">
        <f t="shared" si="1"/>
        <v>204.67342600893133</v>
      </c>
      <c r="F20" s="731">
        <f t="shared" si="1"/>
        <v>823.15552791431298</v>
      </c>
      <c r="G20" s="731">
        <f t="shared" si="1"/>
        <v>0</v>
      </c>
      <c r="H20" s="731">
        <f t="shared" si="1"/>
        <v>344485.79212006379</v>
      </c>
      <c r="I20" s="731">
        <f t="shared" si="1"/>
        <v>55412.994362522266</v>
      </c>
      <c r="J20" s="731">
        <f t="shared" si="1"/>
        <v>0</v>
      </c>
      <c r="K20" s="731">
        <f t="shared" si="1"/>
        <v>0</v>
      </c>
      <c r="L20" s="731">
        <f t="shared" si="1"/>
        <v>0</v>
      </c>
      <c r="M20" s="731">
        <f t="shared" si="1"/>
        <v>0</v>
      </c>
      <c r="N20" s="731">
        <f t="shared" si="1"/>
        <v>12512.123321702811</v>
      </c>
      <c r="O20" s="731">
        <f t="shared" si="1"/>
        <v>0</v>
      </c>
      <c r="P20" s="731">
        <f t="shared" si="1"/>
        <v>0</v>
      </c>
      <c r="Q20" s="732">
        <f t="shared" si="1"/>
        <v>0</v>
      </c>
      <c r="R20" s="733">
        <f t="shared" si="1"/>
        <v>413529.19567317632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907.29323282999985</v>
      </c>
      <c r="D22" s="727">
        <f>+landbouw!C8</f>
        <v>0</v>
      </c>
      <c r="E22" s="727">
        <f>+landbouw!D8</f>
        <v>2026.2474256512839</v>
      </c>
      <c r="F22" s="727">
        <f>+landbouw!E8</f>
        <v>23.395608871427569</v>
      </c>
      <c r="G22" s="727">
        <f>+landbouw!F8</f>
        <v>3316.3295515964114</v>
      </c>
      <c r="H22" s="727">
        <f>+landbouw!G8</f>
        <v>0</v>
      </c>
      <c r="I22" s="727">
        <f>+landbouw!H8</f>
        <v>0</v>
      </c>
      <c r="J22" s="727">
        <f>+landbouw!I8</f>
        <v>0</v>
      </c>
      <c r="K22" s="727">
        <f>+landbouw!J8</f>
        <v>130.61684924249823</v>
      </c>
      <c r="L22" s="727">
        <f>+landbouw!K8</f>
        <v>0</v>
      </c>
      <c r="M22" s="727">
        <f>+landbouw!L8</f>
        <v>0</v>
      </c>
      <c r="N22" s="727">
        <f>+landbouw!M8</f>
        <v>0</v>
      </c>
      <c r="O22" s="727">
        <f>+landbouw!N8</f>
        <v>0</v>
      </c>
      <c r="P22" s="727">
        <f>+landbouw!O8</f>
        <v>0</v>
      </c>
      <c r="Q22" s="728">
        <f>+landbouw!P8</f>
        <v>0</v>
      </c>
      <c r="R22" s="729">
        <f>SUM(C22:Q22)</f>
        <v>6403.8826681916216</v>
      </c>
      <c r="S22" s="67"/>
    </row>
    <row r="23" spans="1:19" s="474" customFormat="1" ht="17.25" thickTop="1" thickBot="1">
      <c r="A23" s="734" t="s">
        <v>116</v>
      </c>
      <c r="B23" s="864"/>
      <c r="C23" s="735">
        <f ca="1">C20+C15+C22</f>
        <v>197178.23214488639</v>
      </c>
      <c r="D23" s="735">
        <f t="shared" ref="D23:Q23" ca="1" si="2">D20+D15+D22</f>
        <v>21040.714285714283</v>
      </c>
      <c r="E23" s="735">
        <f t="shared" ca="1" si="2"/>
        <v>217970.17822354645</v>
      </c>
      <c r="F23" s="735">
        <f t="shared" si="2"/>
        <v>9993.2670393152439</v>
      </c>
      <c r="G23" s="735">
        <f t="shared" ca="1" si="2"/>
        <v>40538.10368697832</v>
      </c>
      <c r="H23" s="735">
        <f t="shared" si="2"/>
        <v>344485.79212006379</v>
      </c>
      <c r="I23" s="735">
        <f t="shared" si="2"/>
        <v>55412.994362522266</v>
      </c>
      <c r="J23" s="735">
        <f t="shared" si="2"/>
        <v>0</v>
      </c>
      <c r="K23" s="735">
        <f t="shared" si="2"/>
        <v>485.19812179545471</v>
      </c>
      <c r="L23" s="735">
        <f t="shared" si="2"/>
        <v>0</v>
      </c>
      <c r="M23" s="735">
        <f t="shared" ca="1" si="2"/>
        <v>0</v>
      </c>
      <c r="N23" s="735">
        <f t="shared" si="2"/>
        <v>12512.123321702811</v>
      </c>
      <c r="O23" s="735">
        <f t="shared" ca="1" si="2"/>
        <v>32291.216794249784</v>
      </c>
      <c r="P23" s="735">
        <f t="shared" si="2"/>
        <v>307.97666666666669</v>
      </c>
      <c r="Q23" s="736">
        <f t="shared" si="2"/>
        <v>667.33333333333337</v>
      </c>
      <c r="R23" s="737">
        <f ca="1">R20+R15+R22</f>
        <v>932883.1301007747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5937.4498030276336</v>
      </c>
      <c r="D36" s="718">
        <f ca="1">tertiair!C20</f>
        <v>22.915966386554619</v>
      </c>
      <c r="E36" s="718">
        <f ca="1">tertiair!D20</f>
        <v>6180.5844280028023</v>
      </c>
      <c r="F36" s="718">
        <f>tertiair!E20</f>
        <v>123.49408248461806</v>
      </c>
      <c r="G36" s="718">
        <f ca="1">tertiair!F20</f>
        <v>1980.7699896061436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14245.214269507753</v>
      </c>
    </row>
    <row r="37" spans="1:18">
      <c r="A37" s="885" t="s">
        <v>225</v>
      </c>
      <c r="B37" s="892"/>
      <c r="C37" s="718">
        <f ca="1">huishoudens!B12</f>
        <v>5467.9051501043878</v>
      </c>
      <c r="D37" s="718">
        <f ca="1">huishoudens!C12</f>
        <v>0</v>
      </c>
      <c r="E37" s="718">
        <f>huishoudens!D12</f>
        <v>15116.939300965394</v>
      </c>
      <c r="F37" s="718">
        <f>huishoudens!E12</f>
        <v>749.08396476613905</v>
      </c>
      <c r="G37" s="718">
        <f>huishoudens!F12</f>
        <v>2028.4487438475117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23362.37715968343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26341.281730289356</v>
      </c>
      <c r="D39" s="718">
        <f ca="1">industrie!C22</f>
        <v>4977.3478991596621</v>
      </c>
      <c r="E39" s="718">
        <f>industrie!D22</f>
        <v>22281.806260152822</v>
      </c>
      <c r="F39" s="718">
        <f>industrie!E22</f>
        <v>1203.7264626234403</v>
      </c>
      <c r="G39" s="718">
        <f>industrie!F22</f>
        <v>5928.9949606933151</v>
      </c>
      <c r="H39" s="718">
        <f>industrie!G22</f>
        <v>0</v>
      </c>
      <c r="I39" s="718">
        <f>industrie!H22</f>
        <v>0</v>
      </c>
      <c r="J39" s="718">
        <f>industrie!I22</f>
        <v>0</v>
      </c>
      <c r="K39" s="718">
        <f>industrie!J22</f>
        <v>125.52177048374659</v>
      </c>
      <c r="L39" s="718">
        <f>industrie!K22</f>
        <v>0</v>
      </c>
      <c r="M39" s="718">
        <f>industrie!L22</f>
        <v>0</v>
      </c>
      <c r="N39" s="718">
        <f>industrie!M22</f>
        <v>0</v>
      </c>
      <c r="O39" s="718">
        <f>industrie!N22</f>
        <v>0</v>
      </c>
      <c r="P39" s="718">
        <f>industrie!O22</f>
        <v>0</v>
      </c>
      <c r="Q39" s="828">
        <f>industrie!P22</f>
        <v>0</v>
      </c>
      <c r="R39" s="918">
        <f ca="1">SUM(C39:Q39)</f>
        <v>60858.679083402341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37746.636683421377</v>
      </c>
      <c r="D41" s="763">
        <f t="shared" ref="D41:R41" ca="1" si="4">SUM(D35:D40)</f>
        <v>5000.2638655462169</v>
      </c>
      <c r="E41" s="763">
        <f t="shared" ca="1" si="4"/>
        <v>43579.329989121019</v>
      </c>
      <c r="F41" s="763">
        <f t="shared" si="4"/>
        <v>2076.3045098741973</v>
      </c>
      <c r="G41" s="763">
        <f t="shared" ca="1" si="4"/>
        <v>9938.2136941469707</v>
      </c>
      <c r="H41" s="763">
        <f t="shared" si="4"/>
        <v>0</v>
      </c>
      <c r="I41" s="763">
        <f t="shared" si="4"/>
        <v>0</v>
      </c>
      <c r="J41" s="763">
        <f t="shared" si="4"/>
        <v>0</v>
      </c>
      <c r="K41" s="763">
        <f t="shared" si="4"/>
        <v>125.52177048374659</v>
      </c>
      <c r="L41" s="763">
        <f t="shared" si="4"/>
        <v>0</v>
      </c>
      <c r="M41" s="763">
        <f t="shared" ca="1" si="4"/>
        <v>0</v>
      </c>
      <c r="N41" s="763">
        <f t="shared" si="4"/>
        <v>0</v>
      </c>
      <c r="O41" s="763">
        <f t="shared" ca="1" si="4"/>
        <v>0</v>
      </c>
      <c r="P41" s="763">
        <f t="shared" si="4"/>
        <v>0</v>
      </c>
      <c r="Q41" s="764">
        <f t="shared" si="4"/>
        <v>0</v>
      </c>
      <c r="R41" s="765">
        <f t="shared" ca="1" si="4"/>
        <v>98466.270512593532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429.39973565776177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429.39973565776177</v>
      </c>
    </row>
    <row r="45" spans="1:18" ht="15" thickBot="1">
      <c r="A45" s="888" t="s">
        <v>307</v>
      </c>
      <c r="B45" s="898"/>
      <c r="C45" s="727">
        <f ca="1">transport!B18</f>
        <v>17.40460758328177</v>
      </c>
      <c r="D45" s="727">
        <f>transport!C18</f>
        <v>0</v>
      </c>
      <c r="E45" s="727">
        <f>transport!D18</f>
        <v>41.344032053804128</v>
      </c>
      <c r="F45" s="727">
        <f>transport!E18</f>
        <v>186.85630483654904</v>
      </c>
      <c r="G45" s="727">
        <f>transport!F18</f>
        <v>0</v>
      </c>
      <c r="H45" s="727">
        <f>transport!G18</f>
        <v>91548.306760399268</v>
      </c>
      <c r="I45" s="727">
        <f>transport!H18</f>
        <v>13797.835596268043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105591.74730114095</v>
      </c>
    </row>
    <row r="46" spans="1:18" ht="15.75" thickBot="1">
      <c r="A46" s="886" t="s">
        <v>230</v>
      </c>
      <c r="B46" s="899"/>
      <c r="C46" s="763">
        <f t="shared" ref="C46:R46" ca="1" si="5">SUM(C43:C45)</f>
        <v>17.40460758328177</v>
      </c>
      <c r="D46" s="763">
        <f t="shared" ca="1" si="5"/>
        <v>0</v>
      </c>
      <c r="E46" s="763">
        <f t="shared" si="5"/>
        <v>41.344032053804128</v>
      </c>
      <c r="F46" s="763">
        <f t="shared" si="5"/>
        <v>186.85630483654904</v>
      </c>
      <c r="G46" s="763">
        <f t="shared" si="5"/>
        <v>0</v>
      </c>
      <c r="H46" s="763">
        <f t="shared" si="5"/>
        <v>91977.706496057028</v>
      </c>
      <c r="I46" s="763">
        <f t="shared" si="5"/>
        <v>13797.835596268043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106021.14703679871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174.57021043239394</v>
      </c>
      <c r="D48" s="718">
        <f ca="1">+landbouw!C12</f>
        <v>0</v>
      </c>
      <c r="E48" s="718">
        <f>+landbouw!D12</f>
        <v>409.30197998155938</v>
      </c>
      <c r="F48" s="718">
        <f>+landbouw!E12</f>
        <v>5.3108032138140588</v>
      </c>
      <c r="G48" s="718">
        <f>+landbouw!F12</f>
        <v>885.45999027624191</v>
      </c>
      <c r="H48" s="718">
        <f>+landbouw!G12</f>
        <v>0</v>
      </c>
      <c r="I48" s="718">
        <f>+landbouw!H12</f>
        <v>0</v>
      </c>
      <c r="J48" s="718">
        <f>+landbouw!I12</f>
        <v>0</v>
      </c>
      <c r="K48" s="718">
        <f>+landbouw!J12</f>
        <v>46.23836463184437</v>
      </c>
      <c r="L48" s="718">
        <f>+landbouw!K12</f>
        <v>0</v>
      </c>
      <c r="M48" s="718">
        <f>+landbouw!L12</f>
        <v>0</v>
      </c>
      <c r="N48" s="718">
        <f>+landbouw!M12</f>
        <v>0</v>
      </c>
      <c r="O48" s="718">
        <f>+landbouw!N12</f>
        <v>0</v>
      </c>
      <c r="P48" s="718">
        <f>+landbouw!O12</f>
        <v>0</v>
      </c>
      <c r="Q48" s="719">
        <f>+landbouw!P12</f>
        <v>0</v>
      </c>
      <c r="R48" s="761">
        <f ca="1">SUM(C48:Q48)</f>
        <v>1520.8813485358537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37938.611501437052</v>
      </c>
      <c r="D53" s="773">
        <f t="shared" ref="D53:Q53" ca="1" si="6">D41+D46+D48</f>
        <v>5000.2638655462169</v>
      </c>
      <c r="E53" s="773">
        <f t="shared" ca="1" si="6"/>
        <v>44029.976001156385</v>
      </c>
      <c r="F53" s="773">
        <f t="shared" si="6"/>
        <v>2268.4716179245602</v>
      </c>
      <c r="G53" s="773">
        <f t="shared" ca="1" si="6"/>
        <v>10823.673684423213</v>
      </c>
      <c r="H53" s="773">
        <f t="shared" si="6"/>
        <v>91977.706496057028</v>
      </c>
      <c r="I53" s="773">
        <f t="shared" si="6"/>
        <v>13797.835596268043</v>
      </c>
      <c r="J53" s="773">
        <f t="shared" si="6"/>
        <v>0</v>
      </c>
      <c r="K53" s="773">
        <f t="shared" si="6"/>
        <v>171.76013511559097</v>
      </c>
      <c r="L53" s="773">
        <f t="shared" si="6"/>
        <v>0</v>
      </c>
      <c r="M53" s="773">
        <f t="shared" ca="1" si="6"/>
        <v>0</v>
      </c>
      <c r="N53" s="773">
        <f t="shared" si="6"/>
        <v>0</v>
      </c>
      <c r="O53" s="773">
        <f t="shared" ca="1" si="6"/>
        <v>0</v>
      </c>
      <c r="P53" s="773">
        <f>P41+P46+P48</f>
        <v>0</v>
      </c>
      <c r="Q53" s="774">
        <f t="shared" si="6"/>
        <v>0</v>
      </c>
      <c r="R53" s="775">
        <f ca="1">R41+R46+R48</f>
        <v>206008.29889792809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0.19240770691949299</v>
      </c>
      <c r="D55" s="836">
        <f t="shared" ca="1" si="7"/>
        <v>0.23764705882352938</v>
      </c>
      <c r="E55" s="836">
        <f t="shared" ca="1" si="7"/>
        <v>0.20200000000000001</v>
      </c>
      <c r="F55" s="836">
        <f t="shared" si="7"/>
        <v>0.22699999999999998</v>
      </c>
      <c r="G55" s="836">
        <f t="shared" ca="1" si="7"/>
        <v>0.26700000000000002</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16226.409610734512</v>
      </c>
      <c r="C64" s="795">
        <f>'lokale energieproductie'!B4</f>
        <v>16226.409610734512</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10393.337033904414</v>
      </c>
      <c r="C66" s="795">
        <f>'lokale energieproductie'!B6</f>
        <v>10393.337033904414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14728.499999999998</v>
      </c>
      <c r="C67" s="794">
        <f>B67*IFERROR(SUM(J67:L67)/SUM(D67:M67),0)</f>
        <v>0</v>
      </c>
      <c r="D67" s="826">
        <f>'lokale energieproductie'!C7</f>
        <v>17327.647058823524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3500.1847058823523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41348.246644638923</v>
      </c>
      <c r="C69" s="803">
        <f>SUM(C64:C68)</f>
        <v>26619.746644638926</v>
      </c>
      <c r="D69" s="804">
        <f t="shared" ref="D69:M69" si="8">SUM(D67:D68)</f>
        <v>17327.647058823524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3500.1847058823523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21040.714285714283</v>
      </c>
      <c r="C78" s="817">
        <f>B78*IFERROR(SUM(I78:L78)/SUM(D78:M78),0)</f>
        <v>0</v>
      </c>
      <c r="D78" s="832">
        <f>'lokale energieproductie'!C16</f>
        <v>24753.781512605034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5000.2638655462169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21040.714285714283</v>
      </c>
      <c r="C81" s="803">
        <f>SUM(C78:C80)</f>
        <v>0</v>
      </c>
      <c r="D81" s="803">
        <f t="shared" ref="D81:P81" si="9">SUM(D78:D80)</f>
        <v>24753.781512605034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5000.2638655462169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28418.327091192154</v>
      </c>
      <c r="C4" s="478">
        <f>huishoudens!C8</f>
        <v>0</v>
      </c>
      <c r="D4" s="478">
        <f>huishoudens!D8</f>
        <v>74836.333173096005</v>
      </c>
      <c r="E4" s="478">
        <f>huishoudens!E8</f>
        <v>3299.9293602032558</v>
      </c>
      <c r="F4" s="478">
        <f>huishoudens!F8</f>
        <v>7597.186306544987</v>
      </c>
      <c r="G4" s="478">
        <f>huishoudens!G8</f>
        <v>0</v>
      </c>
      <c r="H4" s="478">
        <f>huishoudens!H8</f>
        <v>0</v>
      </c>
      <c r="I4" s="478">
        <f>huishoudens!I8</f>
        <v>0</v>
      </c>
      <c r="J4" s="478">
        <f>huishoudens!J8</f>
        <v>0</v>
      </c>
      <c r="K4" s="478">
        <f>huishoudens!K8</f>
        <v>0</v>
      </c>
      <c r="L4" s="478">
        <f>huishoudens!L8</f>
        <v>0</v>
      </c>
      <c r="M4" s="478">
        <f>huishoudens!M8</f>
        <v>0</v>
      </c>
      <c r="N4" s="478">
        <f>huishoudens!N8</f>
        <v>10186.975051617805</v>
      </c>
      <c r="O4" s="478">
        <f>huishoudens!O8</f>
        <v>306.41333333333336</v>
      </c>
      <c r="P4" s="479">
        <f>huishoudens!P8</f>
        <v>610.13333333333333</v>
      </c>
      <c r="Q4" s="480">
        <f>SUM(B4:P4)</f>
        <v>125255.29764932087</v>
      </c>
    </row>
    <row r="5" spans="1:17">
      <c r="A5" s="477" t="s">
        <v>156</v>
      </c>
      <c r="B5" s="478">
        <f ca="1">tertiair!B16</f>
        <v>29309.327112199997</v>
      </c>
      <c r="C5" s="478">
        <f ca="1">tertiair!C16</f>
        <v>96.428571428571431</v>
      </c>
      <c r="D5" s="478">
        <f ca="1">tertiair!D16</f>
        <v>30596.952613875259</v>
      </c>
      <c r="E5" s="478">
        <f>tertiair!E16</f>
        <v>544.02679508642314</v>
      </c>
      <c r="F5" s="478">
        <f ca="1">tertiair!F16</f>
        <v>7418.6141932814362</v>
      </c>
      <c r="G5" s="478">
        <f>tertiair!G16</f>
        <v>0</v>
      </c>
      <c r="H5" s="478">
        <f>tertiair!H16</f>
        <v>0</v>
      </c>
      <c r="I5" s="478">
        <f>tertiair!I16</f>
        <v>0</v>
      </c>
      <c r="J5" s="478">
        <f>tertiair!J16</f>
        <v>0</v>
      </c>
      <c r="K5" s="478">
        <f>tertiair!K16</f>
        <v>0</v>
      </c>
      <c r="L5" s="478">
        <f ca="1">tertiair!L16</f>
        <v>0</v>
      </c>
      <c r="M5" s="478">
        <f>tertiair!M16</f>
        <v>0</v>
      </c>
      <c r="N5" s="478">
        <f ca="1">tertiair!N16</f>
        <v>3257.5578972315102</v>
      </c>
      <c r="O5" s="478">
        <f>tertiair!O16</f>
        <v>1.5633333333333335</v>
      </c>
      <c r="P5" s="479">
        <f>tertiair!P16</f>
        <v>57.2</v>
      </c>
      <c r="Q5" s="477">
        <f t="shared" ref="Q5:Q13" ca="1" si="0">SUM(B5:P5)</f>
        <v>71281.670516436541</v>
      </c>
    </row>
    <row r="6" spans="1:17">
      <c r="A6" s="477" t="s">
        <v>194</v>
      </c>
      <c r="B6" s="478">
        <f>'openbare verlichting'!B8</f>
        <v>1549.3630000000001</v>
      </c>
      <c r="C6" s="478"/>
      <c r="D6" s="478"/>
      <c r="E6" s="478"/>
      <c r="F6" s="478"/>
      <c r="G6" s="478"/>
      <c r="H6" s="478"/>
      <c r="I6" s="478"/>
      <c r="J6" s="478"/>
      <c r="K6" s="478"/>
      <c r="L6" s="478"/>
      <c r="M6" s="478"/>
      <c r="N6" s="478"/>
      <c r="O6" s="478"/>
      <c r="P6" s="479"/>
      <c r="Q6" s="477">
        <f t="shared" si="0"/>
        <v>1549.3630000000001</v>
      </c>
    </row>
    <row r="7" spans="1:17">
      <c r="A7" s="477" t="s">
        <v>112</v>
      </c>
      <c r="B7" s="478">
        <f>landbouw!B8</f>
        <v>907.29323282999985</v>
      </c>
      <c r="C7" s="478">
        <f>landbouw!C8</f>
        <v>0</v>
      </c>
      <c r="D7" s="478">
        <f>landbouw!D8</f>
        <v>2026.2474256512839</v>
      </c>
      <c r="E7" s="478">
        <f>landbouw!E8</f>
        <v>23.395608871427569</v>
      </c>
      <c r="F7" s="478">
        <f>landbouw!F8</f>
        <v>3316.3295515964114</v>
      </c>
      <c r="G7" s="478">
        <f>landbouw!G8</f>
        <v>0</v>
      </c>
      <c r="H7" s="478">
        <f>landbouw!H8</f>
        <v>0</v>
      </c>
      <c r="I7" s="478">
        <f>landbouw!I8</f>
        <v>0</v>
      </c>
      <c r="J7" s="478">
        <f>landbouw!J8</f>
        <v>130.61684924249823</v>
      </c>
      <c r="K7" s="478">
        <f>landbouw!K8</f>
        <v>0</v>
      </c>
      <c r="L7" s="478">
        <f>landbouw!L8</f>
        <v>0</v>
      </c>
      <c r="M7" s="478">
        <f>landbouw!M8</f>
        <v>0</v>
      </c>
      <c r="N7" s="478">
        <f>landbouw!N8</f>
        <v>0</v>
      </c>
      <c r="O7" s="478">
        <f>landbouw!O8</f>
        <v>0</v>
      </c>
      <c r="P7" s="479">
        <f>landbouw!P8</f>
        <v>0</v>
      </c>
      <c r="Q7" s="477">
        <f t="shared" si="0"/>
        <v>6403.8826681916216</v>
      </c>
    </row>
    <row r="8" spans="1:17">
      <c r="A8" s="477" t="s">
        <v>638</v>
      </c>
      <c r="B8" s="478">
        <f>industrie!B18</f>
        <v>136903.4647937</v>
      </c>
      <c r="C8" s="478">
        <f>industrie!C18</f>
        <v>20944.28571428571</v>
      </c>
      <c r="D8" s="478">
        <f>industrie!D18</f>
        <v>110305.97158491495</v>
      </c>
      <c r="E8" s="478">
        <f>industrie!E18</f>
        <v>5302.7597472398247</v>
      </c>
      <c r="F8" s="478">
        <f>industrie!F18</f>
        <v>22205.973635555485</v>
      </c>
      <c r="G8" s="478">
        <f>industrie!G18</f>
        <v>0</v>
      </c>
      <c r="H8" s="478">
        <f>industrie!H18</f>
        <v>0</v>
      </c>
      <c r="I8" s="478">
        <f>industrie!I18</f>
        <v>0</v>
      </c>
      <c r="J8" s="478">
        <f>industrie!J18</f>
        <v>354.58127255295648</v>
      </c>
      <c r="K8" s="478">
        <f>industrie!K18</f>
        <v>0</v>
      </c>
      <c r="L8" s="478">
        <f>industrie!L18</f>
        <v>0</v>
      </c>
      <c r="M8" s="478">
        <f>industrie!M18</f>
        <v>0</v>
      </c>
      <c r="N8" s="478">
        <f>industrie!N18</f>
        <v>18846.683845400468</v>
      </c>
      <c r="O8" s="478">
        <f>industrie!O18</f>
        <v>0</v>
      </c>
      <c r="P8" s="479">
        <f>industrie!P18</f>
        <v>0</v>
      </c>
      <c r="Q8" s="477">
        <f t="shared" si="0"/>
        <v>314863.72059364937</v>
      </c>
    </row>
    <row r="9" spans="1:17" s="483" customFormat="1">
      <c r="A9" s="481" t="s">
        <v>564</v>
      </c>
      <c r="B9" s="482">
        <f>transport!B14</f>
        <v>90.456914964244049</v>
      </c>
      <c r="C9" s="482">
        <f>transport!C14</f>
        <v>0</v>
      </c>
      <c r="D9" s="482">
        <f>transport!D14</f>
        <v>204.67342600893133</v>
      </c>
      <c r="E9" s="482">
        <f>transport!E14</f>
        <v>823.15552791431298</v>
      </c>
      <c r="F9" s="482">
        <f>transport!F14</f>
        <v>0</v>
      </c>
      <c r="G9" s="482">
        <f>transport!G14</f>
        <v>342877.55340973509</v>
      </c>
      <c r="H9" s="482">
        <f>transport!H14</f>
        <v>55412.994362522266</v>
      </c>
      <c r="I9" s="482">
        <f>transport!I14</f>
        <v>0</v>
      </c>
      <c r="J9" s="482">
        <f>transport!J14</f>
        <v>0</v>
      </c>
      <c r="K9" s="482">
        <f>transport!K14</f>
        <v>0</v>
      </c>
      <c r="L9" s="482">
        <f>transport!L14</f>
        <v>0</v>
      </c>
      <c r="M9" s="482">
        <f>transport!M14</f>
        <v>12462.239354831252</v>
      </c>
      <c r="N9" s="482">
        <f>transport!N14</f>
        <v>0</v>
      </c>
      <c r="O9" s="482">
        <f>transport!O14</f>
        <v>0</v>
      </c>
      <c r="P9" s="482">
        <f>transport!P14</f>
        <v>0</v>
      </c>
      <c r="Q9" s="481">
        <f>SUM(B9:P9)</f>
        <v>411871.07299597608</v>
      </c>
    </row>
    <row r="10" spans="1:17">
      <c r="A10" s="477" t="s">
        <v>554</v>
      </c>
      <c r="B10" s="478">
        <f>transport!B54</f>
        <v>0</v>
      </c>
      <c r="C10" s="478">
        <f>transport!C54</f>
        <v>0</v>
      </c>
      <c r="D10" s="478">
        <f>transport!D54</f>
        <v>0</v>
      </c>
      <c r="E10" s="478">
        <f>transport!E54</f>
        <v>0</v>
      </c>
      <c r="F10" s="478">
        <f>transport!F54</f>
        <v>0</v>
      </c>
      <c r="G10" s="478">
        <f>transport!G54</f>
        <v>1608.2387103286956</v>
      </c>
      <c r="H10" s="478">
        <f>transport!H54</f>
        <v>0</v>
      </c>
      <c r="I10" s="478">
        <f>transport!I54</f>
        <v>0</v>
      </c>
      <c r="J10" s="478">
        <f>transport!J54</f>
        <v>0</v>
      </c>
      <c r="K10" s="478">
        <f>transport!K54</f>
        <v>0</v>
      </c>
      <c r="L10" s="478">
        <f>transport!L54</f>
        <v>0</v>
      </c>
      <c r="M10" s="478">
        <f>transport!M54</f>
        <v>49.883966871559942</v>
      </c>
      <c r="N10" s="478">
        <f>transport!N54</f>
        <v>0</v>
      </c>
      <c r="O10" s="478">
        <f>transport!O54</f>
        <v>0</v>
      </c>
      <c r="P10" s="479">
        <f>transport!P54</f>
        <v>0</v>
      </c>
      <c r="Q10" s="477">
        <f t="shared" si="0"/>
        <v>1658.1226772002556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197178.23214488639</v>
      </c>
      <c r="C14" s="488">
        <f t="shared" ref="C14:Q14" ca="1" si="1">SUM(C4:C13)</f>
        <v>21040.714285714283</v>
      </c>
      <c r="D14" s="488">
        <f t="shared" ca="1" si="1"/>
        <v>217970.17822354642</v>
      </c>
      <c r="E14" s="488">
        <f t="shared" si="1"/>
        <v>9993.2670393152439</v>
      </c>
      <c r="F14" s="488">
        <f t="shared" ca="1" si="1"/>
        <v>40538.10368697832</v>
      </c>
      <c r="G14" s="488">
        <f t="shared" si="1"/>
        <v>344485.79212006379</v>
      </c>
      <c r="H14" s="488">
        <f t="shared" si="1"/>
        <v>55412.994362522266</v>
      </c>
      <c r="I14" s="488">
        <f t="shared" si="1"/>
        <v>0</v>
      </c>
      <c r="J14" s="488">
        <f t="shared" si="1"/>
        <v>485.19812179545471</v>
      </c>
      <c r="K14" s="488">
        <f t="shared" si="1"/>
        <v>0</v>
      </c>
      <c r="L14" s="488">
        <f t="shared" ca="1" si="1"/>
        <v>0</v>
      </c>
      <c r="M14" s="488">
        <f t="shared" si="1"/>
        <v>12512.123321702811</v>
      </c>
      <c r="N14" s="488">
        <f t="shared" ca="1" si="1"/>
        <v>32291.216794249784</v>
      </c>
      <c r="O14" s="488">
        <f t="shared" si="1"/>
        <v>307.97666666666669</v>
      </c>
      <c r="P14" s="489">
        <f t="shared" si="1"/>
        <v>667.33333333333337</v>
      </c>
      <c r="Q14" s="489">
        <f t="shared" ca="1" si="1"/>
        <v>932883.13010077481</v>
      </c>
    </row>
    <row r="16" spans="1:17">
      <c r="A16" s="491" t="s">
        <v>559</v>
      </c>
      <c r="B16" s="841">
        <f ca="1">huishoudens!B10</f>
        <v>0.19240770691949299</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5467.9051501043878</v>
      </c>
      <c r="C21" s="478">
        <f t="shared" ref="C21:C30" ca="1" si="3">C4*$C$16</f>
        <v>0</v>
      </c>
      <c r="D21" s="478">
        <f t="shared" ref="D21:D30" si="4">D4*$D$16</f>
        <v>15116.939300965394</v>
      </c>
      <c r="E21" s="478">
        <f t="shared" ref="E21:E30" si="5">E4*$E$16</f>
        <v>749.08396476613905</v>
      </c>
      <c r="F21" s="478">
        <f t="shared" ref="F21:F30" si="6">F4*$F$16</f>
        <v>2028.4487438475117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23362.37715968343</v>
      </c>
    </row>
    <row r="22" spans="1:17">
      <c r="A22" s="477" t="s">
        <v>156</v>
      </c>
      <c r="B22" s="478">
        <f t="shared" ca="1" si="2"/>
        <v>5639.3404210117269</v>
      </c>
      <c r="C22" s="478">
        <f t="shared" ca="1" si="3"/>
        <v>22.915966386554619</v>
      </c>
      <c r="D22" s="478">
        <f t="shared" ca="1" si="4"/>
        <v>6180.5844280028023</v>
      </c>
      <c r="E22" s="478">
        <f t="shared" si="5"/>
        <v>123.49408248461806</v>
      </c>
      <c r="F22" s="478">
        <f t="shared" ca="1" si="6"/>
        <v>1980.7699896061436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13947.104887491845</v>
      </c>
    </row>
    <row r="23" spans="1:17">
      <c r="A23" s="477" t="s">
        <v>194</v>
      </c>
      <c r="B23" s="478">
        <f t="shared" ca="1" si="2"/>
        <v>298.10938201590642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298.10938201590642</v>
      </c>
    </row>
    <row r="24" spans="1:17">
      <c r="A24" s="477" t="s">
        <v>112</v>
      </c>
      <c r="B24" s="478">
        <f t="shared" ca="1" si="2"/>
        <v>174.57021043239394</v>
      </c>
      <c r="C24" s="478">
        <f t="shared" ca="1" si="3"/>
        <v>0</v>
      </c>
      <c r="D24" s="478">
        <f t="shared" si="4"/>
        <v>409.30197998155938</v>
      </c>
      <c r="E24" s="478">
        <f t="shared" si="5"/>
        <v>5.3108032138140588</v>
      </c>
      <c r="F24" s="478">
        <f t="shared" si="6"/>
        <v>885.45999027624191</v>
      </c>
      <c r="G24" s="478">
        <f t="shared" si="7"/>
        <v>0</v>
      </c>
      <c r="H24" s="478">
        <f t="shared" si="8"/>
        <v>0</v>
      </c>
      <c r="I24" s="478">
        <f t="shared" si="9"/>
        <v>0</v>
      </c>
      <c r="J24" s="478">
        <f t="shared" si="10"/>
        <v>46.23836463184437</v>
      </c>
      <c r="K24" s="478">
        <f t="shared" si="11"/>
        <v>0</v>
      </c>
      <c r="L24" s="478">
        <f t="shared" si="12"/>
        <v>0</v>
      </c>
      <c r="M24" s="478">
        <f t="shared" si="13"/>
        <v>0</v>
      </c>
      <c r="N24" s="478">
        <f t="shared" si="14"/>
        <v>0</v>
      </c>
      <c r="O24" s="478">
        <f t="shared" si="15"/>
        <v>0</v>
      </c>
      <c r="P24" s="479">
        <f t="shared" si="16"/>
        <v>0</v>
      </c>
      <c r="Q24" s="477">
        <f t="shared" ca="1" si="17"/>
        <v>1520.8813485358537</v>
      </c>
    </row>
    <row r="25" spans="1:17">
      <c r="A25" s="477" t="s">
        <v>638</v>
      </c>
      <c r="B25" s="478">
        <f t="shared" ca="1" si="2"/>
        <v>26341.281730289356</v>
      </c>
      <c r="C25" s="478">
        <f t="shared" ca="1" si="3"/>
        <v>4977.3478991596621</v>
      </c>
      <c r="D25" s="478">
        <f t="shared" si="4"/>
        <v>22281.806260152822</v>
      </c>
      <c r="E25" s="478">
        <f t="shared" si="5"/>
        <v>1203.7264626234403</v>
      </c>
      <c r="F25" s="478">
        <f t="shared" si="6"/>
        <v>5928.9949606933151</v>
      </c>
      <c r="G25" s="478">
        <f t="shared" si="7"/>
        <v>0</v>
      </c>
      <c r="H25" s="478">
        <f t="shared" si="8"/>
        <v>0</v>
      </c>
      <c r="I25" s="478">
        <f t="shared" si="9"/>
        <v>0</v>
      </c>
      <c r="J25" s="478">
        <f t="shared" si="10"/>
        <v>125.52177048374659</v>
      </c>
      <c r="K25" s="478">
        <f t="shared" si="11"/>
        <v>0</v>
      </c>
      <c r="L25" s="478">
        <f t="shared" si="12"/>
        <v>0</v>
      </c>
      <c r="M25" s="478">
        <f t="shared" si="13"/>
        <v>0</v>
      </c>
      <c r="N25" s="478">
        <f t="shared" si="14"/>
        <v>0</v>
      </c>
      <c r="O25" s="478">
        <f t="shared" si="15"/>
        <v>0</v>
      </c>
      <c r="P25" s="479">
        <f t="shared" si="16"/>
        <v>0</v>
      </c>
      <c r="Q25" s="477">
        <f t="shared" ca="1" si="17"/>
        <v>60858.679083402341</v>
      </c>
    </row>
    <row r="26" spans="1:17" s="483" customFormat="1">
      <c r="A26" s="481" t="s">
        <v>564</v>
      </c>
      <c r="B26" s="835">
        <f t="shared" ca="1" si="2"/>
        <v>17.40460758328177</v>
      </c>
      <c r="C26" s="482">
        <f t="shared" ca="1" si="3"/>
        <v>0</v>
      </c>
      <c r="D26" s="482">
        <f t="shared" si="4"/>
        <v>41.344032053804128</v>
      </c>
      <c r="E26" s="482">
        <f t="shared" si="5"/>
        <v>186.85630483654904</v>
      </c>
      <c r="F26" s="482">
        <f t="shared" si="6"/>
        <v>0</v>
      </c>
      <c r="G26" s="482">
        <f t="shared" si="7"/>
        <v>91548.306760399268</v>
      </c>
      <c r="H26" s="482">
        <f t="shared" si="8"/>
        <v>13797.835596268043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105591.74730114095</v>
      </c>
    </row>
    <row r="27" spans="1:17">
      <c r="A27" s="477" t="s">
        <v>554</v>
      </c>
      <c r="B27" s="478">
        <f t="shared" ca="1" si="2"/>
        <v>0</v>
      </c>
      <c r="C27" s="478">
        <f t="shared" ca="1" si="3"/>
        <v>0</v>
      </c>
      <c r="D27" s="478">
        <f t="shared" si="4"/>
        <v>0</v>
      </c>
      <c r="E27" s="478">
        <f t="shared" si="5"/>
        <v>0</v>
      </c>
      <c r="F27" s="478">
        <f t="shared" si="6"/>
        <v>0</v>
      </c>
      <c r="G27" s="478">
        <f t="shared" si="7"/>
        <v>429.39973565776177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429.39973565776177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37938.611501437052</v>
      </c>
      <c r="C31" s="488">
        <f t="shared" ca="1" si="18"/>
        <v>5000.2638655462169</v>
      </c>
      <c r="D31" s="488">
        <f t="shared" ca="1" si="18"/>
        <v>44029.976001156385</v>
      </c>
      <c r="E31" s="488">
        <f t="shared" si="18"/>
        <v>2268.4716179245606</v>
      </c>
      <c r="F31" s="488">
        <f t="shared" ca="1" si="18"/>
        <v>10823.673684423211</v>
      </c>
      <c r="G31" s="488">
        <f t="shared" si="18"/>
        <v>91977.706496057028</v>
      </c>
      <c r="H31" s="488">
        <f t="shared" si="18"/>
        <v>13797.835596268043</v>
      </c>
      <c r="I31" s="488">
        <f t="shared" si="18"/>
        <v>0</v>
      </c>
      <c r="J31" s="488">
        <f t="shared" si="18"/>
        <v>171.76013511559097</v>
      </c>
      <c r="K31" s="488">
        <f t="shared" si="18"/>
        <v>0</v>
      </c>
      <c r="L31" s="488">
        <f t="shared" ca="1" si="18"/>
        <v>0</v>
      </c>
      <c r="M31" s="488">
        <f t="shared" si="18"/>
        <v>0</v>
      </c>
      <c r="N31" s="488">
        <f t="shared" ca="1" si="18"/>
        <v>0</v>
      </c>
      <c r="O31" s="488">
        <f t="shared" si="18"/>
        <v>0</v>
      </c>
      <c r="P31" s="489">
        <f t="shared" si="18"/>
        <v>0</v>
      </c>
      <c r="Q31" s="489">
        <f t="shared" ca="1" si="18"/>
        <v>206008.29889792809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0.19240770691949299</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0.19240770691949299</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0.19240770691949299</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2018-06-27T09:40:49Z</dcterms:modified>
</cp:coreProperties>
</file>