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0" i="17"/>
  <c r="C12" s="1"/>
  <c r="D48" i="14" s="1"/>
  <c r="C56" i="22"/>
  <c r="C58" s="1"/>
  <c r="D44" i="14" s="1"/>
  <c r="D46" s="1"/>
  <c r="C18" i="15"/>
  <c r="C20" s="1"/>
  <c r="D36" i="14" s="1"/>
  <c r="C10" i="13"/>
  <c r="C16" i="48" s="1"/>
  <c r="C30" s="1"/>
  <c r="C16" i="22"/>
  <c r="C17" i="49"/>
  <c r="Q5" i="48"/>
  <c r="O13" i="14"/>
  <c r="O15" s="1"/>
  <c r="N22" i="16"/>
  <c r="O39" i="14" s="1"/>
  <c r="O41" s="1"/>
  <c r="K41"/>
  <c r="K53" s="1"/>
  <c r="N25" i="48"/>
  <c r="N31" s="1"/>
  <c r="N14"/>
  <c r="E25"/>
  <c r="E31" s="1"/>
  <c r="E14"/>
  <c r="K13" i="14"/>
  <c r="K15" s="1"/>
  <c r="K23" s="1"/>
  <c r="K55" s="1"/>
  <c r="H55"/>
  <c r="E55"/>
  <c r="C78"/>
  <c r="C81" s="1"/>
  <c r="J14" i="48"/>
  <c r="J31"/>
  <c r="Q8"/>
  <c r="R19" i="14"/>
  <c r="R20" s="1"/>
  <c r="H14" i="48"/>
  <c r="G31"/>
  <c r="H26"/>
  <c r="H31" s="1"/>
  <c r="F55" i="14"/>
  <c r="O53"/>
  <c r="G53"/>
  <c r="G55" s="1"/>
  <c r="O69" s="1"/>
  <c r="B9" i="6" s="1"/>
  <c r="B12" s="1"/>
  <c r="M53" i="14"/>
  <c r="M55" s="1"/>
  <c r="C12" i="13"/>
  <c r="D37" i="14" s="1"/>
  <c r="D41" s="1"/>
  <c r="C23" i="48"/>
  <c r="C24"/>
  <c r="C27"/>
  <c r="C22"/>
  <c r="C25"/>
  <c r="C21"/>
  <c r="C26"/>
  <c r="F25"/>
  <c r="F31" s="1"/>
  <c r="F14"/>
  <c r="R13" i="14" l="1"/>
  <c r="R15" s="1"/>
  <c r="R23" s="1"/>
  <c r="C28" i="48"/>
  <c r="C29"/>
  <c r="Q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<sst xmlns="http://schemas.openxmlformats.org/spreadsheetml/2006/main" count="2003" uniqueCount="848">
  <si>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</si>
  <si>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</si>
  <si>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</si>
  <si>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</si>
  <si>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</si>
  <si>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</si>
  <si>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</si>
  <si>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</si>
  <si>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</si>
  <si>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</si>
  <si>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</si>
  <si>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</si>
  <si>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</si>
  <si>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</si>
  <si>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</si>
  <si>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</si>
  <si>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</si>
  <si>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</si>
  <si>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</si>
  <si>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</si>
  <si>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</si>
  <si>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</si>
  <si>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</si>
  <si>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</si>
  <si>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</si>
  <si>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</si>
  <si>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</si>
  <si>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</si>
  <si>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</si>
  <si>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</si>
  <si>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</si>
  <si>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</si>
  <si>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</si>
  <si>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</si>
  <si>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</si>
  <si>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</si>
  <si>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</si>
  <si>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</si>
  <si>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</si>
  <si>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</si>
  <si>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</si>
  <si>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</si>
  <si>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</si>
  <si>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</si>
  <si>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</si>
  <si>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</si>
  <si>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</si>
  <si>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</si>
  <si>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</si>
  <si>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</si>
  <si>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</si>
  <si>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</si>
  <si>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</si>
  <si>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</si>
  <si>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</si>
  <si>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</si>
  <si>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</si>
  <si>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</si>
  <si>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</si>
  <si>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</si>
  <si>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</si>
  <si>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</si>
  <si>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</si>
  <si>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</si>
  <si>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</si>
  <si>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</si>
  <si>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</si>
  <si>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</si>
  <si>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</si>
  <si>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</si>
  <si>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</si>
  <si>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</si>
  <si>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</si>
  <si>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</si>
  <si>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</si>
  <si>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</si>
  <si>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</si>
  <si>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</si>
  <si>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</si>
  <si>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</si>
  <si>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</si>
  <si>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</si>
  <si>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</si>
  <si>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</si>
  <si>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</si>
  <si>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</si>
  <si>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</si>
  <si>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</si>
  <si>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</si>
  <si>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</si>
  <si>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</si>
  <si>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</si>
  <si>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</si>
  <si>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</si>
  <si>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</si>
  <si>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</si>
  <si>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</si>
  <si>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</si>
  <si>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</si>
  <si>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</si>
  <si>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</si>
  <si>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</si>
  <si>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</si>
  <si>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</si>
  <si>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</si>
  <si>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</si>
  <si>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</si>
  <si>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</si>
  <si>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</si>
  <si>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</si>
  <si>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</si>
  <si>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</si>
  <si>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</si>
  <si>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</si>
  <si>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</si>
  <si>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</si>
  <si>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</si>
  <si>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</si>
  <si>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</si>
  <si>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</si>
  <si>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</si>
  <si>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</si>
  <si>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</si>
  <si>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</si>
  <si>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</si>
  <si>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</si>
  <si>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</si>
  <si>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</si>
  <si>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</si>
  <si>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</si>
  <si>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</si>
  <si>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</si>
  <si>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</si>
  <si>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</si>
  <si>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</si>
  <si>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</si>
  <si>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</si>
  <si>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</si>
  <si>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</si>
  <si>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</si>
  <si>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</si>
  <si>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</si>
  <si>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</si>
  <si>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</si>
  <si>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</si>
  <si>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</si>
  <si>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</si>
  <si>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</si>
  <si>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</si>
  <si>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</si>
  <si>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</si>
  <si>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</si>
  <si>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</si>
  <si>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</si>
  <si>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</si>
  <si>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</si>
  <si>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</si>
  <si>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</si>
  <si>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</si>
  <si>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</si>
  <si>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</si>
  <si>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</si>
  <si>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</si>
  <si>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</si>
  <si>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</si>
  <si>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</si>
  <si>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</si>
  <si>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</si>
  <si>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</si>
  <si>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</si>
  <si>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</si>
  <si>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</si>
  <si>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</si>
  <si>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</si>
  <si>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</si>
  <si>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</si>
  <si>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</si>
  <si>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</si>
  <si>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</si>
  <si>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</si>
  <si>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</si>
  <si>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</si>
  <si>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</si>
  <si>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</si>
  <si>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</si>
  <si>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</si>
  <si>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</si>
  <si>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</si>
  <si>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</si>
  <si>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</si>
  <si>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</si>
  <si>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</si>
  <si>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</si>
  <si>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</si>
  <si>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</si>
  <si>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</si>
  <si>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</si>
  <si>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</si>
  <si>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</si>
  <si>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</si>
  <si>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</si>
  <si>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</si>
  <si>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</si>
  <si>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</si>
  <si>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</si>
  <si>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</si>
  <si>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</si>
  <si>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</si>
  <si>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</si>
  <si>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</si>
  <si>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</si>
  <si>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</si>
  <si>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</si>
  <si>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</si>
  <si>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</si>
  <si>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</si>
  <si>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</si>
  <si>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</si>
  <si>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</si>
  <si>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</si>
  <si>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</si>
  <si>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</si>
  <si>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</si>
  <si>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</si>
  <si>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</si>
  <si>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</si>
  <si>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</si>
  <si>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</si>
  <si>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</si>
  <si>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</si>
  <si>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</si>
  <si>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</si>
  <si>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</si>
  <si>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</si>
  <si>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</si>
  <si>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</si>
  <si>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</si>
  <si>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</si>
  <si>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</si>
  <si>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</si>
  <si>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</si>
  <si>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</si>
  <si>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</si>
  <si>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</si>
  <si>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</si>
  <si>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</si>
  <si>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</si>
  <si>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</si>
  <si>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</si>
  <si>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</si>
  <si>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</si>
  <si>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</si>
  <si>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</si>
  <si>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</si>
  <si>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</si>
  <si>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</si>
  <si>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</si>
  <si>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</si>
  <si>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</si>
  <si>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</si>
  <si>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</si>
  <si>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</si>
  <si>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</si>
  <si>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</si>
  <si>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</si>
  <si>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</si>
  <si>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</si>
  <si>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</si>
  <si>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</si>
  <si>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</si>
  <si>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</si>
  <si>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</si>
  <si>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</si>
  <si>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</si>
  <si>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</si>
  <si>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</si>
  <si>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</si>
  <si>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</si>
  <si>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</si>
  <si>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</si>
  <si>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</si>
  <si>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</si>
  <si>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</si>
  <si>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</si>
  <si>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</si>
  <si>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</si>
  <si>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</si>
  <si>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</si>
  <si>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</si>
  <si>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</si>
  <si>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</si>
  <si>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</si>
  <si>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</si>
  <si>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</si>
  <si>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</si>
  <si>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</si>
  <si>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</si>
  <si>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</si>
  <si>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</si>
  <si>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</si>
  <si>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</si>
  <si>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</si>
  <si>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</si>
  <si>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</si>
  <si>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</si>
  <si>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</si>
  <si>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</si>
  <si>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</si>
  <si>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</si>
  <si>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</si>
  <si>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</si>
  <si>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</si>
  <si>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</si>
  <si>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</si>
  <si>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</si>
  <si>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</si>
  <si>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</si>
  <si>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</si>
  <si>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</si>
  <si>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</si>
  <si>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</si>
  <si>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</si>
  <si>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</si>
  <si>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</si>
  <si>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</si>
  <si>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</si>
  <si>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</si>
  <si>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</si>
  <si>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</si>
  <si>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</si>
  <si>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</si>
  <si>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</si>
  <si>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</si>
  <si>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</si>
  <si>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</si>
  <si>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</si>
  <si>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</si>
  <si>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</si>
  <si>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</si>
  <si>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</si>
  <si>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</si>
  <si>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</si>
  <si>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</si>
  <si>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</si>
  <si>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</si>
  <si>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</si>
  <si>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</si>
  <si>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</si>
  <si>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</si>
  <si>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</si>
  <si>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</si>
  <si>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</si>
  <si>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</si>
  <si>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</si>
  <si>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</si>
  <si>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</si>
  <si>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</si>
  <si>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</si>
  <si>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</si>
  <si>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</si>
  <si>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</si>
  <si>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</si>
  <si>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</si>
  <si>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</si>
  <si>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</si>
  <si>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</si>
  <si>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</si>
  <si>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</si>
  <si>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</si>
  <si>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</si>
  <si>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</si>
  <si>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</si>
  <si>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</si>
  <si>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</si>
  <si>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</si>
  <si>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</si>
  <si>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</si>
  <si>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</si>
  <si>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</si>
  <si>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</si>
  <si>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</si>
  <si>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</si>
  <si>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</si>
  <si>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</si>
  <si>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</si>
  <si>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</si>
  <si>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</si>
  <si>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</si>
  <si>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</si>
  <si>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</si>
  <si>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</si>
  <si>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</si>
  <si>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</si>
  <si>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</si>
  <si>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</si>
  <si>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</si>
  <si>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</si>
  <si>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</si>
  <si>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</si>
  <si>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</si>
  <si>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</si>
  <si>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</si>
  <si>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</si>
  <si>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</si>
  <si>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</si>
  <si>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</si>
  <si>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</si>
  <si>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</si>
  <si>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</si>
  <si>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</si>
  <si>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</si>
  <si>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</si>
  <si>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</si>
  <si>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</si>
  <si>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</si>
  <si>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</si>
  <si>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</si>
  <si>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</si>
  <si>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</si>
  <si>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</si>
  <si>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</si>
  <si>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</si>
  <si>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</si>
  <si>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</si>
  <si>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</si>
  <si>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</si>
  <si>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</si>
  <si>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</si>
  <si>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</si>
  <si>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</si>
  <si>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</si>
  <si>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</si>
  <si>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</si>
  <si>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</si>
  <si>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</si>
  <si>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</si>
  <si>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</si>
  <si>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</si>
  <si>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</si>
  <si>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</si>
  <si>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</si>
  <si>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</si>
  <si>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</si>
  <si>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</si>
  <si>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</si>
  <si>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</si>
  <si>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</si>
  <si>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</si>
  <si>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</si>
  <si>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</si>
  <si>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</si>
  <si>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</si>
  <si>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</si>
  <si>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</si>
  <si>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</si>
  <si>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</si>
  <si>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</si>
  <si>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</si>
  <si>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</si>
  <si>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</si>
  <si>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</si>
  <si>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</si>
  <si>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</si>
  <si>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</si>
  <si>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</si>
  <si>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</si>
  <si>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</si>
  <si>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</si>
  <si>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</si>
  <si>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</si>
  <si>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</si>
  <si>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</si>
  <si>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</si>
  <si>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</si>
  <si>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</si>
  <si>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</si>
  <si>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</si>
  <si>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</si>
  <si>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</si>
  <si>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</si>
  <si>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</si>
  <si>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</si>
  <si>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</si>
  <si>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</si>
  <si>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</si>
  <si>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</si>
  <si>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</si>
  <si>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</si>
  <si>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</si>
  <si>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</si>
  <si>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</si>
  <si>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</si>
  <si>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</si>
  <si>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</si>
  <si>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</si>
  <si>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</si>
  <si>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</si>
  <si>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</si>
  <si>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</si>
  <si>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</si>
  <si>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</si>
  <si>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</si>
  <si>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</si>
  <si>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</si>
  <si>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</si>
  <si>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</si>
  <si>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</si>
  <si>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</si>
  <si>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</si>
  <si>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</si>
  <si>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</si>
  <si>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</si>
  <si>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</si>
  <si>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</si>
  <si>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</si>
  <si>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</si>
  <si>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</si>
  <si>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</si>
  <si>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</si>
  <si>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</si>
  <si>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</si>
  <si>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</si>
  <si>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</si>
  <si>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</si>
  <si>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</si>
  <si>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</si>
  <si>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</si>
  <si>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</si>
  <si>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</si>
  <si>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</si>
  <si>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</si>
  <si>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</si>
  <si>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</si>
  <si>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</si>
  <si>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</si>
  <si>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</si>
  <si>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</si>
  <si>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</si>
  <si>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</si>
  <si>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</si>
  <si>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</si>
  <si>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</si>
  <si>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</si>
  <si>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</si>
  <si>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</si>
  <si>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</si>
  <si>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</si>
  <si>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</si>
  <si>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</si>
  <si>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</si>
  <si>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</si>
  <si>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</si>
  <si>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</si>
  <si>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</si>
  <si>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</si>
  <si>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</si>
  <si>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</si>
  <si>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</si>
  <si>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</si>
  <si>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</si>
  <si>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</si>
  <si>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</si>
  <si>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</si>
  <si>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</si>
  <si>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</si>
  <si>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</si>
  <si>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</si>
  <si>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</si>
  <si>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</si>
  <si>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</si>
  <si>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</si>
  <si>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</si>
  <si>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</si>
  <si>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</si>
  <si>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</si>
  <si>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</si>
  <si>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</si>
  <si>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</si>
  <si>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</si>
  <si>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</si>
  <si>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</si>
  <si>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</si>
  <si>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</si>
  <si>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</si>
  <si>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</si>
  <si>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</si>
  <si>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</si>
  <si>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</si>
  <si>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</si>
  <si>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</si>
  <si>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</si>
  <si>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</si>
  <si>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</si>
  <si>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</si>
  <si>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</si>
  <si>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</si>
  <si>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</si>
  <si>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</si>
  <si>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</si>
  <si>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</si>
  <si>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</si>
  <si>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</si>
  <si>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</si>
  <si>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</si>
  <si>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</si>
  <si>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</si>
  <si>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</si>
  <si>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</si>
  <si>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</si>
  <si>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</si>
  <si>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</si>
  <si>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</si>
  <si>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</si>
  <si>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</si>
  <si>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</si>
  <si>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</si>
  <si>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</si>
  <si>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</si>
  <si>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</si>
  <si>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</si>
  <si>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</si>
  <si>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</si>
  <si>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</si>
  <si>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</si>
  <si>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</si>
  <si>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</si>
  <si>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</si>
  <si>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</si>
  <si>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</si>
  <si>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</si>
  <si>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</si>
  <si>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</si>
  <si>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</si>
  <si>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</si>
  <si>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</si>
  <si>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</si>
  <si>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</si>
  <si>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</si>
  <si>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</si>
  <si>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</si>
  <si>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</si>
  <si>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</si>
  <si>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</si>
  <si>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</si>
  <si>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</si>
  <si>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</si>
  <si>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</si>
  <si>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</si>
  <si>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</si>
  <si>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</si>
  <si>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</si>
  <si>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</si>
  <si>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</si>
  <si>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</si>
  <si>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</si>
  <si>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</si>
  <si>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</si>
  <si>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</si>
  <si>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</si>
  <si>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</si>
  <si>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</si>
  <si>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</si>
  <si>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</si>
  <si>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</si>
  <si>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</si>
  <si>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</si>
  <si>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</si>
  <si>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</si>
  <si>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</si>
  <si>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</si>
  <si>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</si>
  <si>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</si>
  <si>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</si>
  <si>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</si>
  <si>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</si>
  <si>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</si>
  <si>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</si>
  <si>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</si>
  <si>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</si>
  <si>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</si>
  <si>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</si>
  <si>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</si>
  <si>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</si>
  <si>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</si>
  <si>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</si>
  <si>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</si>
  <si>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</si>
  <si>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</si>
  <si>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</si>
  <si>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</si>
  <si>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</si>
  <si>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</si>
  <si>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</si>
  <si>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</si>
  <si>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</si>
  <si>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</si>
  <si>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</si>
  <si>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</si>
  <si>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</si>
  <si>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</si>
  <si>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</si>
  <si>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</si>
  <si>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</si>
  <si>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</si>
  <si>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</si>
  <si>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</si>
  <si>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</si>
  <si>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</si>
  <si>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</si>
  <si>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</si>
  <si>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</si>
  <si>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</si>
  <si>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</si>
  <si>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</si>
  <si>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</si>
  <si>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</si>
  <si>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</si>
  <si>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</si>
  <si>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</si>
  <si>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</si>
  <si>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</si>
  <si>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</si>
  <si>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</si>
  <si>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</si>
  <si>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</si>
  <si>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</si>
  <si>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</si>
  <si>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</si>
  <si>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</si>
  <si>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</si>
  <si>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</si>
  <si>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</si>
  <si>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</si>
  <si>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</si>
  <si>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</si>
  <si>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</si>
  <si>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</si>
  <si>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</si>
  <si>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</si>
  <si>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</si>
  <si>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</si>
  <si>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</si>
  <si>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</si>
  <si>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</si>
  <si>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</si>
  <si>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</si>
  <si>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</si>
  <si>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</si>
  <si>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</si>
  <si>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</si>
  <si>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</si>
  <si>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</si>
  <si>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</si>
  <si>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</si>
  <si>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</si>
  <si>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</si>
  <si>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</si>
  <si>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</si>
  <si>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</si>
  <si>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</si>
  <si>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</si>
  <si>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</si>
  <si>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</si>
  <si>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</si>
  <si>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</si>
  <si>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</si>
  <si>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</si>
  <si>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</si>
  <si>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</si>
  <si>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</si>
  <si>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</si>
  <si>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</si>
  <si>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</si>
  <si>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</si>
  <si>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</si>
  <si>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</si>
  <si>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</si>
  <si>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</si>
  <si>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</si>
  <si>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</si>
  <si>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</si>
  <si>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</si>
  <si>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</si>
  <si>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</si>
  <si>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</si>
  <si>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</si>
  <si>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</si>
  <si>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</si>
  <si>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</si>
  <si>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</si>
  <si>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</si>
  <si>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</si>
  <si>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</si>
  <si>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</si>
  <si>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</si>
  <si>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</si>
  <si>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</si>
  <si>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</si>
  <si>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</si>
  <si>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</si>
  <si>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</si>
  <si>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</si>
  <si>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</si>
  <si>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</si>
  <si>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</si>
  <si>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</si>
  <si>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</si>
  <si>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</si>
  <si>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</si>
  <si>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</si>
  <si>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11037</t>
  </si>
  <si>
    <t>RUMST</t>
  </si>
  <si>
    <t>Paarden&amp;pony's 200 - 600 kg</t>
  </si>
  <si>
    <t>Paarden&amp;pony's &lt; 200 kg</t>
  </si>
  <si>
    <t>referentietaak LNE (2017); Jaarverslag De Lijn (2015)</t>
  </si>
  <si>
    <t>op basis van VEA (maart 2018) en Inventaris Hernieuwbare Energiebronnen (juni 2018)</t>
  </si>
  <si>
    <t>VEA (januari 2017)</t>
  </si>
  <si>
    <t>VEA (juni 2018)</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</si>
  <si>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</si>
  <si>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</si>
  <si>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</si>
  <si>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</si>
  <si>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</si>
  <si>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</si>
  <si>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</si>
  <si>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</si>
  <si>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</si>
  <si>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</si>
  <si>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</si>
  <si>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</si>
  <si>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</si>
  <si>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</si>
  <si>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</si>
  <si>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</si>
  <si>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</si>
  <si>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</si>
  <si>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</si>
  <si>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</si>
  <si>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</si>
  <si>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</si>
  <si>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</si>
  <si>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</si>
  <si>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</si>
  <si>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</si>
  <si>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</si>
  <si>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</si>
  <si>
    <t>WKK-0731 Lemmens Guy</t>
  </si>
  <si>
    <t>Borzestraat 13 , 2840 Rumst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</si>
</sst>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103151.65925538656</c:v>
                </c:pt>
                <c:pt idx="1">
                  <c:v>87028.249670160716</c:v>
                </c:pt>
                <c:pt idx="2">
                  <c:v>1075.94</c:v>
                </c:pt>
                <c:pt idx="3">
                  <c:v>88652.660932496074</c:v>
                </c:pt>
                <c:pt idx="4">
                  <c:v>78650.989671482486</c:v>
                </c:pt>
                <c:pt idx="5">
                  <c:v>262007.64071146553</c:v>
                </c:pt>
                <c:pt idx="6">
                  <c:v>2166.7307670689593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103151.65925538656</c:v>
                </c:pt>
                <c:pt idx="1">
                  <c:v>87028.249670160716</c:v>
                </c:pt>
                <c:pt idx="2">
                  <c:v>1075.94</c:v>
                </c:pt>
                <c:pt idx="3">
                  <c:v>88652.660932496074</c:v>
                </c:pt>
                <c:pt idx="4">
                  <c:v>78650.989671482486</c:v>
                </c:pt>
                <c:pt idx="5">
                  <c:v>262007.64071146553</c:v>
                </c:pt>
                <c:pt idx="6">
                  <c:v>2166.7307670689593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20229.612028480293</c:v>
                </c:pt>
                <c:pt idx="1">
                  <c:v>16302.157330371516</c:v>
                </c:pt>
                <c:pt idx="2">
                  <c:v>238.77229588723173</c:v>
                </c:pt>
                <c:pt idx="3">
                  <c:v>21191.220434192401</c:v>
                </c:pt>
                <c:pt idx="4">
                  <c:v>15898.859214753929</c:v>
                </c:pt>
                <c:pt idx="5">
                  <c:v>67124.1095004323</c:v>
                </c:pt>
                <c:pt idx="6">
                  <c:v>561.11265554363115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46624"/>
      </c:barChart>
      <c:catAx>
        <c:axId val="183401472"/>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20229.612028480293</c:v>
                </c:pt>
                <c:pt idx="1">
                  <c:v>16302.157330371516</c:v>
                </c:pt>
                <c:pt idx="2">
                  <c:v>238.77229588723173</c:v>
                </c:pt>
                <c:pt idx="3">
                  <c:v>21191.220434192401</c:v>
                </c:pt>
                <c:pt idx="4">
                  <c:v>15898.859214753929</c:v>
                </c:pt>
                <c:pt idx="5">
                  <c:v>67124.1095004323</c:v>
                </c:pt>
                <c:pt idx="6">
                  <c:v>561.11265554363115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11037</v>
      </c>
      <c r="B6" s="415"/>
      <c r="C6" s="416"/>
    </row>
    <row r="7" spans="1:7" s="413" customFormat="1" ht="15.75" customHeight="1">
      <c r="A7" s="417" t="str">
        <f>txtMunicipality</f>
        <v>RUMST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6161</v>
      </c>
      <c r="C9" s="342">
        <v>6186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625.37</v>
      </c>
    </row>
    <row r="15" spans="1:6">
      <c r="A15" s="348" t="s">
        <v>184</v>
      </c>
      <c r="B15" s="334">
        <v>8</v>
      </c>
    </row>
    <row r="16" spans="1:6">
      <c r="A16" s="348" t="s">
        <v>6</v>
      </c>
      <c r="B16" s="334">
        <v>652</v>
      </c>
    </row>
    <row r="17" spans="1:6">
      <c r="A17" s="348" t="s">
        <v>7</v>
      </c>
      <c r="B17" s="334">
        <v>49</v>
      </c>
    </row>
    <row r="18" spans="1:6">
      <c r="A18" s="348" t="s">
        <v>8</v>
      </c>
      <c r="B18" s="334">
        <v>411</v>
      </c>
    </row>
    <row r="19" spans="1:6">
      <c r="A19" s="348" t="s">
        <v>9</v>
      </c>
      <c r="B19" s="334">
        <v>366</v>
      </c>
    </row>
    <row r="20" spans="1:6">
      <c r="A20" s="348" t="s">
        <v>10</v>
      </c>
      <c r="B20" s="334">
        <v>142</v>
      </c>
    </row>
    <row r="21" spans="1:6">
      <c r="A21" s="348" t="s">
        <v>11</v>
      </c>
      <c r="B21" s="334">
        <v>0</v>
      </c>
    </row>
    <row r="22" spans="1:6">
      <c r="A22" s="348" t="s">
        <v>12</v>
      </c>
      <c r="B22" s="334">
        <v>440</v>
      </c>
    </row>
    <row r="23" spans="1:6">
      <c r="A23" s="348" t="s">
        <v>13</v>
      </c>
      <c r="B23" s="334">
        <v>0</v>
      </c>
    </row>
    <row r="24" spans="1:6">
      <c r="A24" s="348" t="s">
        <v>14</v>
      </c>
      <c r="B24" s="334">
        <v>0</v>
      </c>
    </row>
    <row r="25" spans="1:6">
      <c r="A25" s="348" t="s">
        <v>15</v>
      </c>
      <c r="B25" s="334">
        <v>0</v>
      </c>
    </row>
    <row r="26" spans="1:6">
      <c r="A26" s="348" t="s">
        <v>16</v>
      </c>
      <c r="B26" s="334">
        <v>10</v>
      </c>
    </row>
    <row r="27" spans="1:6">
      <c r="A27" s="348" t="s">
        <v>17</v>
      </c>
      <c r="B27" s="334">
        <v>7</v>
      </c>
    </row>
    <row r="28" spans="1:6" s="356" customFormat="1">
      <c r="A28" s="355" t="s">
        <v>18</v>
      </c>
      <c r="B28" s="355">
        <v>66265</v>
      </c>
    </row>
    <row r="29" spans="1:6">
      <c r="A29" s="355" t="s">
        <v>812</v>
      </c>
      <c r="B29" s="355">
        <v>22</v>
      </c>
      <c r="C29" s="356"/>
      <c r="D29" s="356"/>
      <c r="E29" s="356"/>
      <c r="F29" s="356"/>
    </row>
    <row r="30" spans="1:6">
      <c r="A30" s="355" t="s">
        <v>813</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7873.9415976</v>
      </c>
    </row>
    <row r="37" spans="1:6">
      <c r="A37" s="348" t="s">
        <v>25</v>
      </c>
      <c r="B37" s="348" t="s">
        <v>28</v>
      </c>
      <c r="C37" s="334">
        <v>0</v>
      </c>
      <c r="D37" s="334">
        <v>0</v>
      </c>
      <c r="E37" s="334">
        <v>0</v>
      </c>
      <c r="F37" s="334">
        <v>0</v>
      </c>
    </row>
    <row r="38" spans="1:6">
      <c r="A38" s="348" t="s">
        <v>25</v>
      </c>
      <c r="B38" s="348" t="s">
        <v>29</v>
      </c>
      <c r="C38" s="334">
        <v>1</v>
      </c>
      <c r="D38" s="334">
        <v>27580895.943</v>
      </c>
      <c r="E38" s="334">
        <v>1</v>
      </c>
      <c r="F38" s="334">
        <v>169790.26143000001</v>
      </c>
    </row>
    <row r="39" spans="1:6">
      <c r="A39" s="348" t="s">
        <v>30</v>
      </c>
      <c r="B39" s="348" t="s">
        <v>31</v>
      </c>
      <c r="C39" s="334">
        <v>4731</v>
      </c>
      <c r="D39" s="334">
        <v>76824405.496000007</v>
      </c>
      <c r="E39" s="334">
        <v>5988</v>
      </c>
      <c r="F39" s="334">
        <v>24635734.267000001</v>
      </c>
    </row>
    <row r="40" spans="1:6">
      <c r="A40" s="348" t="s">
        <v>30</v>
      </c>
      <c r="B40" s="348" t="s">
        <v>29</v>
      </c>
      <c r="C40" s="334">
        <v>0</v>
      </c>
      <c r="D40" s="334">
        <v>49701</v>
      </c>
      <c r="E40" s="334">
        <v>0</v>
      </c>
      <c r="F40" s="334">
        <v>0</v>
      </c>
    </row>
    <row r="41" spans="1:6">
      <c r="A41" s="348" t="s">
        <v>32</v>
      </c>
      <c r="B41" s="348" t="s">
        <v>33</v>
      </c>
      <c r="C41" s="334">
        <v>59</v>
      </c>
      <c r="D41" s="334">
        <v>1550399.3792000001</v>
      </c>
      <c r="E41" s="334">
        <v>107</v>
      </c>
      <c r="F41" s="334">
        <v>1719061.9546999999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96716.562195999999</v>
      </c>
    </row>
    <row r="45" spans="1:6">
      <c r="A45" s="348" t="s">
        <v>32</v>
      </c>
      <c r="B45" s="348" t="s">
        <v>37</v>
      </c>
      <c r="C45" s="334">
        <v>0</v>
      </c>
      <c r="D45" s="334">
        <v>0</v>
      </c>
      <c r="E45" s="334">
        <v>4</v>
      </c>
      <c r="F45" s="334">
        <v>1262563.0944999999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55844077.825999998</v>
      </c>
      <c r="E48" s="334">
        <v>35</v>
      </c>
      <c r="F48" s="334">
        <v>13642450.882999999</v>
      </c>
    </row>
    <row r="49" spans="1:6">
      <c r="A49" s="348" t="s">
        <v>32</v>
      </c>
      <c r="B49" s="348" t="s">
        <v>40</v>
      </c>
      <c r="C49" s="334">
        <v>0</v>
      </c>
      <c r="D49" s="334">
        <v>0</v>
      </c>
      <c r="E49" s="334">
        <v>0</v>
      </c>
      <c r="F49" s="334">
        <v>0</v>
      </c>
    </row>
    <row r="50" spans="1:6">
      <c r="A50" s="348" t="s">
        <v>32</v>
      </c>
      <c r="B50" s="348" t="s">
        <v>41</v>
      </c>
      <c r="C50" s="334">
        <v>7</v>
      </c>
      <c r="D50" s="334">
        <v>490381.85141</v>
      </c>
      <c r="E50" s="334">
        <v>12</v>
      </c>
      <c r="F50" s="334">
        <v>249181.36314999999</v>
      </c>
    </row>
    <row r="51" spans="1:6">
      <c r="A51" s="348" t="s">
        <v>42</v>
      </c>
      <c r="B51" s="348" t="s">
        <v>43</v>
      </c>
      <c r="C51" s="334">
        <v>13</v>
      </c>
      <c r="D51" s="334">
        <v>97626058.371999994</v>
      </c>
      <c r="E51" s="334">
        <v>51</v>
      </c>
      <c r="F51" s="334">
        <v>997130.07715999999</v>
      </c>
    </row>
    <row r="52" spans="1:6">
      <c r="A52" s="348" t="s">
        <v>42</v>
      </c>
      <c r="B52" s="348" t="s">
        <v>29</v>
      </c>
      <c r="C52" s="334">
        <v>5</v>
      </c>
      <c r="D52" s="334">
        <v>28119579.259</v>
      </c>
      <c r="E52" s="334">
        <v>9</v>
      </c>
      <c r="F52" s="334">
        <v>222988.81437000001</v>
      </c>
    </row>
    <row r="53" spans="1:6">
      <c r="A53" s="348" t="s">
        <v>44</v>
      </c>
      <c r="B53" s="348" t="s">
        <v>45</v>
      </c>
      <c r="C53" s="334">
        <v>89</v>
      </c>
      <c r="D53" s="334">
        <v>2316586.1154999998</v>
      </c>
      <c r="E53" s="334">
        <v>199</v>
      </c>
      <c r="F53" s="334">
        <v>897296.92258999997</v>
      </c>
    </row>
    <row r="54" spans="1:6">
      <c r="A54" s="348" t="s">
        <v>46</v>
      </c>
      <c r="B54" s="348" t="s">
        <v>47</v>
      </c>
      <c r="C54" s="334">
        <v>0</v>
      </c>
      <c r="D54" s="334">
        <v>0</v>
      </c>
      <c r="E54" s="334">
        <v>1</v>
      </c>
      <c r="F54" s="334">
        <v>1075940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714956.46655999997</v>
      </c>
      <c r="E57" s="334">
        <v>56</v>
      </c>
      <c r="F57" s="334">
        <v>15637659.534</v>
      </c>
    </row>
    <row r="58" spans="1:6">
      <c r="A58" s="348" t="s">
        <v>49</v>
      </c>
      <c r="B58" s="348" t="s">
        <v>51</v>
      </c>
      <c r="C58" s="334">
        <v>14</v>
      </c>
      <c r="D58" s="334">
        <v>462571.87416000001</v>
      </c>
      <c r="E58" s="334">
        <v>27</v>
      </c>
      <c r="F58" s="334">
        <v>167964.44883000001</v>
      </c>
    </row>
    <row r="59" spans="1:6">
      <c r="A59" s="348" t="s">
        <v>49</v>
      </c>
      <c r="B59" s="348" t="s">
        <v>52</v>
      </c>
      <c r="C59" s="334">
        <v>49</v>
      </c>
      <c r="D59" s="334">
        <v>6499906.5597999999</v>
      </c>
      <c r="E59" s="334">
        <v>114</v>
      </c>
      <c r="F59" s="334">
        <v>7316867.1222999999</v>
      </c>
    </row>
    <row r="60" spans="1:6">
      <c r="A60" s="348" t="s">
        <v>49</v>
      </c>
      <c r="B60" s="348" t="s">
        <v>53</v>
      </c>
      <c r="C60" s="334">
        <v>42</v>
      </c>
      <c r="D60" s="334">
        <v>1730214.3825000001</v>
      </c>
      <c r="E60" s="334">
        <v>56</v>
      </c>
      <c r="F60" s="334">
        <v>1420505.6414000001</v>
      </c>
    </row>
    <row r="61" spans="1:6">
      <c r="A61" s="348" t="s">
        <v>49</v>
      </c>
      <c r="B61" s="348" t="s">
        <v>54</v>
      </c>
      <c r="C61" s="334">
        <v>158</v>
      </c>
      <c r="D61" s="334">
        <v>5312781.7750000004</v>
      </c>
      <c r="E61" s="334">
        <v>318</v>
      </c>
      <c r="F61" s="334">
        <v>4657256.6179</v>
      </c>
    </row>
    <row r="62" spans="1:6">
      <c r="A62" s="348" t="s">
        <v>49</v>
      </c>
      <c r="B62" s="348" t="s">
        <v>55</v>
      </c>
      <c r="C62" s="334">
        <v>10</v>
      </c>
      <c r="D62" s="334">
        <v>2197152.7119</v>
      </c>
      <c r="E62" s="334">
        <v>12</v>
      </c>
      <c r="F62" s="334">
        <v>163124.97000999999</v>
      </c>
    </row>
    <row r="63" spans="1:6">
      <c r="A63" s="348" t="s">
        <v>49</v>
      </c>
      <c r="B63" s="348" t="s">
        <v>29</v>
      </c>
      <c r="C63" s="334">
        <v>97</v>
      </c>
      <c r="D63" s="334">
        <v>11014468.274</v>
      </c>
      <c r="E63" s="334">
        <v>103</v>
      </c>
      <c r="F63" s="334">
        <v>9499899.9711000007</v>
      </c>
    </row>
    <row r="64" spans="1:6">
      <c r="A64" s="348" t="s">
        <v>56</v>
      </c>
      <c r="B64" s="348" t="s">
        <v>57</v>
      </c>
      <c r="C64" s="334">
        <v>0</v>
      </c>
      <c r="D64" s="334">
        <v>0</v>
      </c>
      <c r="E64" s="334">
        <v>0</v>
      </c>
      <c r="F64" s="334">
        <v>0</v>
      </c>
    </row>
    <row r="65" spans="1:6">
      <c r="A65" s="348" t="s">
        <v>56</v>
      </c>
      <c r="B65" s="348" t="s">
        <v>29</v>
      </c>
      <c r="C65" s="334">
        <v>1</v>
      </c>
      <c r="D65" s="334">
        <v>20071.907706999998</v>
      </c>
      <c r="E65" s="334">
        <v>0</v>
      </c>
      <c r="F65" s="334">
        <v>0</v>
      </c>
    </row>
    <row r="66" spans="1:6">
      <c r="A66" s="348" t="s">
        <v>56</v>
      </c>
      <c r="B66" s="348" t="s">
        <v>58</v>
      </c>
      <c r="C66" s="334">
        <v>0</v>
      </c>
      <c r="D66" s="334">
        <v>0</v>
      </c>
      <c r="E66" s="334">
        <v>12</v>
      </c>
      <c r="F66" s="334">
        <v>547695.81015000003</v>
      </c>
    </row>
    <row r="67" spans="1:6">
      <c r="A67" s="355" t="s">
        <v>56</v>
      </c>
      <c r="B67" s="355" t="s">
        <v>59</v>
      </c>
      <c r="C67" s="334">
        <v>0</v>
      </c>
      <c r="D67" s="334">
        <v>0</v>
      </c>
      <c r="E67" s="334">
        <v>0</v>
      </c>
      <c r="F67" s="334">
        <v>0</v>
      </c>
    </row>
    <row r="68" spans="1:6">
      <c r="A68" s="341" t="s">
        <v>56</v>
      </c>
      <c r="B68" s="341" t="s">
        <v>60</v>
      </c>
      <c r="C68" s="334">
        <v>3</v>
      </c>
      <c r="D68" s="334">
        <v>59941.565283999997</v>
      </c>
      <c r="E68" s="334">
        <v>13</v>
      </c>
      <c r="F68" s="334">
        <v>343874.86793000001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121307195</v>
      </c>
      <c r="E73" s="476">
        <v>132547701.27857608</v>
      </c>
    </row>
    <row r="74" spans="1:6">
      <c r="A74" s="348" t="s">
        <v>64</v>
      </c>
      <c r="B74" s="348" t="s">
        <v>667</v>
      </c>
      <c r="C74" s="1212" t="s">
        <v>669</v>
      </c>
      <c r="D74" s="476">
        <v>12947250.827598166</v>
      </c>
      <c r="E74" s="476">
        <v>13627021.635729669</v>
      </c>
    </row>
    <row r="75" spans="1:6">
      <c r="A75" s="348" t="s">
        <v>65</v>
      </c>
      <c r="B75" s="348" t="s">
        <v>666</v>
      </c>
      <c r="C75" s="1212" t="s">
        <v>670</v>
      </c>
      <c r="D75" s="476">
        <v>8718973</v>
      </c>
      <c r="E75" s="476">
        <v>9252612.3050932046</v>
      </c>
    </row>
    <row r="76" spans="1:6">
      <c r="A76" s="348" t="s">
        <v>65</v>
      </c>
      <c r="B76" s="348" t="s">
        <v>667</v>
      </c>
      <c r="C76" s="1212" t="s">
        <v>671</v>
      </c>
      <c r="D76" s="476">
        <v>13306.1</v>
      </c>
      <c r="E76" s="476">
        <v>13706.277801699227</v>
      </c>
    </row>
    <row r="77" spans="1:6">
      <c r="A77" s="348" t="s">
        <v>66</v>
      </c>
      <c r="B77" s="348" t="s">
        <v>666</v>
      </c>
      <c r="C77" s="1212" t="s">
        <v>672</v>
      </c>
      <c r="D77" s="476">
        <v>149988194</v>
      </c>
      <c r="E77" s="476">
        <v>162326962.87342253</v>
      </c>
    </row>
    <row r="78" spans="1:6">
      <c r="A78" s="341" t="s">
        <v>66</v>
      </c>
      <c r="B78" s="341" t="s">
        <v>667</v>
      </c>
      <c r="C78" s="341" t="s">
        <v>673</v>
      </c>
      <c r="D78" s="1213">
        <v>18061925</v>
      </c>
      <c r="E78" s="1213">
        <v>19069666.219598666</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581954.34480366751</v>
      </c>
      <c r="C83" s="476">
        <v>581954.34480366751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2241.5974825294466</v>
      </c>
    </row>
    <row r="92" spans="1:6">
      <c r="A92" s="341" t="s">
        <v>69</v>
      </c>
      <c r="B92" s="342">
        <v>1741.0732565343292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3577</v>
      </c>
    </row>
    <row r="98" spans="1:6">
      <c r="A98" s="348" t="s">
        <v>72</v>
      </c>
      <c r="B98" s="334">
        <v>8</v>
      </c>
    </row>
    <row r="99" spans="1:6">
      <c r="A99" s="348" t="s">
        <v>73</v>
      </c>
      <c r="B99" s="334">
        <v>24</v>
      </c>
    </row>
    <row r="100" spans="1:6">
      <c r="A100" s="348" t="s">
        <v>74</v>
      </c>
      <c r="B100" s="334">
        <v>607</v>
      </c>
    </row>
    <row r="101" spans="1:6">
      <c r="A101" s="348" t="s">
        <v>75</v>
      </c>
      <c r="B101" s="334">
        <v>38</v>
      </c>
    </row>
    <row r="102" spans="1:6">
      <c r="A102" s="348" t="s">
        <v>76</v>
      </c>
      <c r="B102" s="334">
        <v>92</v>
      </c>
    </row>
    <row r="103" spans="1:6">
      <c r="A103" s="348" t="s">
        <v>77</v>
      </c>
      <c r="B103" s="334">
        <v>96</v>
      </c>
    </row>
    <row r="104" spans="1:6">
      <c r="A104" s="348" t="s">
        <v>78</v>
      </c>
      <c r="B104" s="334">
        <v>1007</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0</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85072.260037626198</v>
      </c>
      <c r="C3" s="43" t="s">
        <v>170</v>
      </c>
      <c r="D3" s="43"/>
      <c r="E3" s="154"/>
      <c r="F3" s="43"/>
      <c r="G3" s="43"/>
      <c r="H3" s="43"/>
      <c r="I3" s="43"/>
      <c r="J3" s="43"/>
      <c r="K3" s="96"/>
    </row>
    <row r="4" spans="1:11">
      <c r="A4" s="383" t="s">
        <v>171</v>
      </c>
      <c r="B4" s="49">
        <f>IF(ISERROR('SEAP template'!B69),0,'SEAP template'!B69)</f>
        <v>61918.633239063776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13762.26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0.22191971289033935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19660.371428571434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82765.660714285725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0.23754261439947602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1075.94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1075.94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0.22191971289033935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238.77229588723173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24635.734267</v>
      </c>
      <c r="C5" s="17">
        <f>IF(ISERROR('Eigen informatie GS &amp; warmtenet'!B57),0,'Eigen informatie GS &amp; warmtenet'!B57)</f>
        <v>0</v>
      </c>
      <c r="D5" s="30">
        <f>(SUM(HH_hh_gas_kWh,HH_rest_gas_kWh)/1000)*0.902</f>
        <v>69340.444059392015</v>
      </c>
      <c r="E5" s="17">
        <f>B46*B57</f>
        <v>1137.5884729917591</v>
      </c>
      <c r="F5" s="17">
        <f>B51*B62</f>
        <v>0</v>
      </c>
      <c r="G5" s="18"/>
      <c r="H5" s="17"/>
      <c r="I5" s="17"/>
      <c r="J5" s="17">
        <f>B50*B61+C50*C61</f>
        <v>0</v>
      </c>
      <c r="K5" s="17"/>
      <c r="L5" s="17"/>
      <c r="M5" s="17"/>
      <c r="N5" s="17">
        <f>B48*B59+C48*C59</f>
        <v>5115.4749734733405</v>
      </c>
      <c r="O5" s="17">
        <f>B69*B70*B71</f>
        <v>146.95333333333335</v>
      </c>
      <c r="P5" s="17">
        <f>B77*B78*B79/1000-B77*B78*B79/1000/B80</f>
        <v>533.86666666666667</v>
      </c>
    </row>
    <row r="6" spans="1:16">
      <c r="A6" s="16" t="s">
        <v>624</v>
      </c>
      <c r="B6" s="843">
        <f>kWh_PV_kleiner_dan_10kW</f>
        <v>2241.5974825294466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26877.331749529447</v>
      </c>
      <c r="C8" s="21">
        <f>C5</f>
        <v>0</v>
      </c>
      <c r="D8" s="21">
        <f>D5</f>
        <v>69340.444059392015</v>
      </c>
      <c r="E8" s="21">
        <f>E5</f>
        <v>1137.5884729917591</v>
      </c>
      <c r="F8" s="21">
        <f>F5</f>
        <v>0</v>
      </c>
      <c r="G8" s="21"/>
      <c r="H8" s="21"/>
      <c r="I8" s="21"/>
      <c r="J8" s="21">
        <f>J5</f>
        <v>0</v>
      </c>
      <c r="K8" s="21"/>
      <c r="L8" s="21">
        <f>L5</f>
        <v>0</v>
      </c>
      <c r="M8" s="21">
        <f>M5</f>
        <v>0</v>
      </c>
      <c r="N8" s="21">
        <f>N5</f>
        <v>5115.4749734733405</v>
      </c>
      <c r="O8" s="21">
        <f>O5</f>
        <v>146.95333333333335</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0.22191971289033935</v>
      </c>
      <c r="C10" s="25">
        <f ca="1">'EF ele_warmte'!B22</f>
        <v>0.23754261439947602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5964.6097451139767</v>
      </c>
      <c r="C12" s="23">
        <f ca="1">C10*C8</f>
        <v>0</v>
      </c>
      <c r="D12" s="23">
        <f>D8*D10</f>
        <v>14006.769699997189</v>
      </c>
      <c r="E12" s="23">
        <f>E10*E8</f>
        <v>258.23258336912932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3577</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3.5874439461883409</v>
      </c>
      <c r="D20" s="229"/>
      <c r="E20" s="15"/>
    </row>
    <row r="21" spans="1:7">
      <c r="A21" s="171" t="s">
        <v>74</v>
      </c>
      <c r="B21" s="37">
        <f>aantalw2001_elektriciteit</f>
        <v>607</v>
      </c>
      <c r="C21" s="167">
        <f>IF(ISERROR(B21/SUM($B$20,$B$21,$B$22)*100),0,B21/SUM($B$20,$B$21,$B$22)*100)</f>
        <v>90.732436472346791</v>
      </c>
      <c r="D21" s="229"/>
      <c r="E21" s="15"/>
    </row>
    <row r="22" spans="1:7">
      <c r="A22" s="171" t="s">
        <v>75</v>
      </c>
      <c r="B22" s="37">
        <f>aantalw2001_hout</f>
        <v>38</v>
      </c>
      <c r="C22" s="167">
        <f>IF(ISERROR(B22/SUM($B$20,$B$21,$B$22)*100),0,B22/SUM($B$20,$B$21,$B$22)*100)</f>
        <v>5.6801195814648731</v>
      </c>
      <c r="D22" s="229"/>
      <c r="E22" s="15"/>
    </row>
    <row r="23" spans="1:7">
      <c r="A23" s="171" t="s">
        <v>76</v>
      </c>
      <c r="B23" s="37">
        <f>aantalw2001_niet_gespec</f>
        <v>92</v>
      </c>
      <c r="C23" s="166" t="s">
        <v>111</v>
      </c>
      <c r="D23" s="228"/>
      <c r="E23" s="15"/>
    </row>
    <row r="24" spans="1:7">
      <c r="A24" s="171" t="s">
        <v>77</v>
      </c>
      <c r="B24" s="37">
        <f>aantalw2001_steenkool</f>
        <v>96</v>
      </c>
      <c r="C24" s="166" t="s">
        <v>111</v>
      </c>
      <c r="D24" s="229"/>
      <c r="E24" s="15"/>
    </row>
    <row r="25" spans="1:7">
      <c r="A25" s="171" t="s">
        <v>78</v>
      </c>
      <c r="B25" s="37">
        <f>aantalw2001_stookolie</f>
        <v>1007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6161</v>
      </c>
      <c r="C28" s="36"/>
      <c r="D28" s="228"/>
    </row>
    <row r="29" spans="1:7" s="15" customFormat="1">
      <c r="A29" s="230" t="s">
        <v>699</v>
      </c>
      <c r="B29" s="37">
        <f>SUM(HH_hh_gas_aantal,HH_rest_gas_aantal)</f>
        <v>4731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4731</v>
      </c>
      <c r="C32" s="167">
        <f>IF(ISERROR(B32/SUM($B$32,$B$34,$B$35,$B$36,$B$38,$B$39)*100),0,B32/SUM($B$32,$B$34,$B$35,$B$36,$B$38,$B$39)*100)</f>
        <v>77.140061959889138</v>
      </c>
      <c r="D32" s="233"/>
      <c r="G32" s="15"/>
    </row>
    <row r="33" spans="1:7">
      <c r="A33" s="171" t="s">
        <v>72</v>
      </c>
      <c r="B33" s="34" t="s">
        <v>111</v>
      </c>
      <c r="C33" s="167"/>
      <c r="D33" s="233"/>
      <c r="G33" s="15"/>
    </row>
    <row r="34" spans="1:7">
      <c r="A34" s="171" t="s">
        <v>73</v>
      </c>
      <c r="B34" s="33">
        <f>IF((($B$28-$B$32-$B$39-$B$77-$B$38)*C20/100)&lt;0,0,($B$28-$B$32-$B$39-$B$77-$B$38)*C20/100)</f>
        <v>50.295964125560538</v>
      </c>
      <c r="C34" s="167">
        <f>IF(ISERROR(B34/SUM($B$32,$B$34,$B$35,$B$36,$B$38,$B$39)*100),0,B34/SUM($B$32,$B$34,$B$35,$B$36,$B$38,$B$39)*100)</f>
        <v>0.82008746332236337</v>
      </c>
      <c r="D34" s="233"/>
      <c r="G34" s="15"/>
    </row>
    <row r="35" spans="1:7">
      <c r="A35" s="171" t="s">
        <v>74</v>
      </c>
      <c r="B35" s="33">
        <f>IF((($B$28-$B$32-$B$39-$B$77-$B$38)*C21/100)&lt;0,0,($B$28-$B$32-$B$39-$B$77-$B$38)*C21/100)</f>
        <v>1272.068759342302</v>
      </c>
      <c r="C35" s="167">
        <f>IF(ISERROR(B35/SUM($B$32,$B$34,$B$35,$B$36,$B$38,$B$39)*100),0,B35/SUM($B$32,$B$34,$B$35,$B$36,$B$38,$B$39)*100)</f>
        <v>20.741378759861441</v>
      </c>
      <c r="D35" s="233"/>
      <c r="G35" s="15"/>
    </row>
    <row r="36" spans="1:7">
      <c r="A36" s="171" t="s">
        <v>75</v>
      </c>
      <c r="B36" s="33">
        <f>IF((($B$28-$B$32-$B$39-$B$77-$B$38)*C22/100)&lt;0,0,($B$28-$B$32-$B$39-$B$77-$B$38)*C22/100)</f>
        <v>79.635276532137524</v>
      </c>
      <c r="C36" s="167">
        <f>IF(ISERROR(B36/SUM($B$32,$B$34,$B$35,$B$36,$B$38,$B$39)*100),0,B36/SUM($B$32,$B$34,$B$35,$B$36,$B$38,$B$39)*100)</f>
        <v>1.2984718169270755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4731</v>
      </c>
      <c r="C44" s="34" t="s">
        <v>111</v>
      </c>
      <c r="D44" s="174"/>
    </row>
    <row r="45" spans="1:7">
      <c r="A45" s="171" t="s">
        <v>72</v>
      </c>
      <c r="B45" s="33" t="str">
        <f t="shared" si="0"/>
        <v>-</v>
      </c>
      <c r="C45" s="34" t="s">
        <v>111</v>
      </c>
      <c r="D45" s="174"/>
    </row>
    <row r="46" spans="1:7">
      <c r="A46" s="171" t="s">
        <v>73</v>
      </c>
      <c r="B46" s="33">
        <f t="shared" si="0"/>
        <v>50.295964125560538</v>
      </c>
      <c r="C46" s="34" t="s">
        <v>111</v>
      </c>
      <c r="D46" s="174"/>
    </row>
    <row r="47" spans="1:7">
      <c r="A47" s="171" t="s">
        <v>74</v>
      </c>
      <c r="B47" s="33">
        <f t="shared" si="0"/>
        <v>1272.068759342302</v>
      </c>
      <c r="C47" s="34" t="s">
        <v>111</v>
      </c>
      <c r="D47" s="174"/>
    </row>
    <row r="48" spans="1:7">
      <c r="A48" s="171" t="s">
        <v>75</v>
      </c>
      <c r="B48" s="33">
        <f t="shared" si="0"/>
        <v>79.635276532137524</v>
      </c>
      <c r="C48" s="33">
        <f>B48*10</f>
        <v>796.35276532137527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38863.27830554</v>
      </c>
      <c r="C5" s="17">
        <f>IF(ISERROR('Eigen informatie GS &amp; warmtenet'!B58),0,'Eigen informatie GS &amp; warmtenet'!B58)</f>
        <v>0</v>
      </c>
      <c r="D5" s="30">
        <f>SUM(D6:D12)</f>
        <v>25194.710943615843</v>
      </c>
      <c r="E5" s="17">
        <f>SUM(E6:E12)</f>
        <v>529.9950710611248</v>
      </c>
      <c r="F5" s="17">
        <f>SUM(F6:F12)</f>
        <v>9243.4055246720982</v>
      </c>
      <c r="G5" s="18"/>
      <c r="H5" s="17"/>
      <c r="I5" s="17"/>
      <c r="J5" s="17">
        <f>SUM(J6:J12)</f>
        <v>0</v>
      </c>
      <c r="K5" s="17"/>
      <c r="L5" s="17"/>
      <c r="M5" s="17"/>
      <c r="N5" s="17">
        <f>SUM(N6:N12)</f>
        <v>13177.793158604976</v>
      </c>
      <c r="O5" s="17">
        <f>B38*B39*B40</f>
        <v>0</v>
      </c>
      <c r="P5" s="17">
        <f>B46*B47*B48/1000-B46*B47*B48/1000/B49</f>
        <v>19.066666666666666</v>
      </c>
      <c r="R5" s="32"/>
    </row>
    <row r="6" spans="1:18">
      <c r="A6" s="32" t="s">
        <v>54</v>
      </c>
      <c r="B6" s="37">
        <f>B26</f>
        <v>4657.2566178999996</v>
      </c>
      <c r="C6" s="33"/>
      <c r="D6" s="37">
        <f>IF(ISERROR(TER_kantoor_gas_kWh/1000),0,TER_kantoor_gas_kWh/1000)*0.902</f>
        <v>4792.1291610500002</v>
      </c>
      <c r="E6" s="33">
        <f>$C$26*'E Balans VL '!I12/100/3.6*1000000</f>
        <v>60.969226036589461</v>
      </c>
      <c r="F6" s="33">
        <f>$C$26*('E Balans VL '!L12+'E Balans VL '!N12)/100/3.6*1000000</f>
        <v>1187.5523112723636</v>
      </c>
      <c r="G6" s="34"/>
      <c r="H6" s="33"/>
      <c r="I6" s="33"/>
      <c r="J6" s="33">
        <f>$C$26*('E Balans VL '!D12+'E Balans VL '!E12)/100/3.6*1000000</f>
        <v>0</v>
      </c>
      <c r="K6" s="33"/>
      <c r="L6" s="33"/>
      <c r="M6" s="33"/>
      <c r="N6" s="33">
        <f>$C$26*'E Balans VL '!Y12/100/3.6*1000000</f>
        <v>4.6729396801050296</v>
      </c>
      <c r="O6" s="33"/>
      <c r="P6" s="33"/>
      <c r="R6" s="32"/>
    </row>
    <row r="7" spans="1:18">
      <c r="A7" s="32" t="s">
        <v>53</v>
      </c>
      <c r="B7" s="37">
        <f t="shared" ref="B7:B12" si="0">B27</f>
        <v>1420.5056414000001</v>
      </c>
      <c r="C7" s="33"/>
      <c r="D7" s="37">
        <f>IF(ISERROR(TER_horeca_gas_kWh/1000),0,TER_horeca_gas_kWh/1000)*0.902</f>
        <v>1560.6533730150002</v>
      </c>
      <c r="E7" s="33">
        <f>$C$27*'E Balans VL '!I9/100/3.6*1000000</f>
        <v>47.010096084381956</v>
      </c>
      <c r="F7" s="33">
        <f>$C$27*('E Balans VL '!L9+'E Balans VL '!N9)/100/3.6*1000000</f>
        <v>610.81198176495536</v>
      </c>
      <c r="G7" s="34"/>
      <c r="H7" s="33"/>
      <c r="I7" s="33"/>
      <c r="J7" s="33">
        <f>$C$27*('E Balans VL '!D9+'E Balans VL '!E9)/100/3.6*1000000</f>
        <v>0</v>
      </c>
      <c r="K7" s="33"/>
      <c r="L7" s="33"/>
      <c r="M7" s="33"/>
      <c r="N7" s="33">
        <f>$C$27*'E Balans VL '!Y9/100/3.6*1000000</f>
        <v>0.34193633589062866</v>
      </c>
      <c r="O7" s="33"/>
      <c r="P7" s="33"/>
      <c r="R7" s="32"/>
    </row>
    <row r="8" spans="1:18">
      <c r="A8" s="6" t="s">
        <v>52</v>
      </c>
      <c r="B8" s="37">
        <f t="shared" si="0"/>
        <v>7316.8671223000001</v>
      </c>
      <c r="C8" s="33"/>
      <c r="D8" s="37">
        <f>IF(ISERROR(TER_handel_gas_kWh/1000),0,TER_handel_gas_kWh/1000)*0.902</f>
        <v>5862.9157169396003</v>
      </c>
      <c r="E8" s="33">
        <f>$C$28*'E Balans VL '!I13/100/3.6*1000000</f>
        <v>230.93150621996523</v>
      </c>
      <c r="F8" s="33">
        <f>$C$28*('E Balans VL '!L13+'E Balans VL '!N13)/100/3.6*1000000</f>
        <v>1434.9664847138311</v>
      </c>
      <c r="G8" s="34"/>
      <c r="H8" s="33"/>
      <c r="I8" s="33"/>
      <c r="J8" s="33">
        <f>$C$28*('E Balans VL '!D13+'E Balans VL '!E13)/100/3.6*1000000</f>
        <v>0</v>
      </c>
      <c r="K8" s="33"/>
      <c r="L8" s="33"/>
      <c r="M8" s="33"/>
      <c r="N8" s="33">
        <f>$C$28*'E Balans VL '!Y13/100/3.6*1000000</f>
        <v>8.6837007218576669</v>
      </c>
      <c r="O8" s="33"/>
      <c r="P8" s="33"/>
      <c r="R8" s="32"/>
    </row>
    <row r="9" spans="1:18">
      <c r="A9" s="32" t="s">
        <v>51</v>
      </c>
      <c r="B9" s="37">
        <f t="shared" si="0"/>
        <v>167.96444883000001</v>
      </c>
      <c r="C9" s="33"/>
      <c r="D9" s="37">
        <f>IF(ISERROR(TER_gezond_gas_kWh/1000),0,TER_gezond_gas_kWh/1000)*0.902</f>
        <v>417.23983049231998</v>
      </c>
      <c r="E9" s="33">
        <f>$C$29*'E Balans VL '!I10/100/3.6*1000000</f>
        <v>2.1504363141164936E-2</v>
      </c>
      <c r="F9" s="33">
        <f>$C$29*('E Balans VL '!L10+'E Balans VL '!N10)/100/3.6*1000000</f>
        <v>34.994034726512112</v>
      </c>
      <c r="G9" s="34"/>
      <c r="H9" s="33"/>
      <c r="I9" s="33"/>
      <c r="J9" s="33">
        <f>$C$29*('E Balans VL '!D10+'E Balans VL '!E10)/100/3.6*1000000</f>
        <v>0</v>
      </c>
      <c r="K9" s="33"/>
      <c r="L9" s="33"/>
      <c r="M9" s="33"/>
      <c r="N9" s="33">
        <f>$C$29*'E Balans VL '!Y10/100/3.6*1000000</f>
        <v>1.9728218419439965</v>
      </c>
      <c r="O9" s="33"/>
      <c r="P9" s="33"/>
      <c r="R9" s="32"/>
    </row>
    <row r="10" spans="1:18">
      <c r="A10" s="32" t="s">
        <v>50</v>
      </c>
      <c r="B10" s="37">
        <f t="shared" si="0"/>
        <v>15637.659534</v>
      </c>
      <c r="C10" s="33"/>
      <c r="D10" s="37">
        <f>IF(ISERROR(TER_ander_gas_kWh/1000),0,TER_ander_gas_kWh/1000)*0.902</f>
        <v>644.89073283712003</v>
      </c>
      <c r="E10" s="33">
        <f>$C$30*'E Balans VL '!I14/100/3.6*1000000</f>
        <v>23.515362499737986</v>
      </c>
      <c r="F10" s="33">
        <f>$C$30*('E Balans VL '!L14+'E Balans VL '!N14)/100/3.6*1000000</f>
        <v>3452.291151454293</v>
      </c>
      <c r="G10" s="34"/>
      <c r="H10" s="33"/>
      <c r="I10" s="33"/>
      <c r="J10" s="33">
        <f>$C$30*('E Balans VL '!D14+'E Balans VL '!E14)/100/3.6*1000000</f>
        <v>0</v>
      </c>
      <c r="K10" s="33"/>
      <c r="L10" s="33"/>
      <c r="M10" s="33"/>
      <c r="N10" s="33">
        <f>$C$30*'E Balans VL '!Y14/100/3.6*1000000</f>
        <v>12323.528087600156</v>
      </c>
      <c r="O10" s="33"/>
      <c r="P10" s="33"/>
      <c r="R10" s="32"/>
    </row>
    <row r="11" spans="1:18">
      <c r="A11" s="32" t="s">
        <v>55</v>
      </c>
      <c r="B11" s="37">
        <f t="shared" si="0"/>
        <v>163.12497001</v>
      </c>
      <c r="C11" s="33"/>
      <c r="D11" s="37">
        <f>IF(ISERROR(TER_onderwijs_gas_kWh/1000),0,TER_onderwijs_gas_kWh/1000)*0.902</f>
        <v>1981.8317461338002</v>
      </c>
      <c r="E11" s="33">
        <f>$C$31*'E Balans VL '!I11/100/3.6*1000000</f>
        <v>0.28727674201284514</v>
      </c>
      <c r="F11" s="33">
        <f>$C$31*('E Balans VL '!L11+'E Balans VL '!N11)/100/3.6*1000000</f>
        <v>75.317750395067364</v>
      </c>
      <c r="G11" s="34"/>
      <c r="H11" s="33"/>
      <c r="I11" s="33"/>
      <c r="J11" s="33">
        <f>$C$31*('E Balans VL '!D11+'E Balans VL '!E11)/100/3.6*1000000</f>
        <v>0</v>
      </c>
      <c r="K11" s="33"/>
      <c r="L11" s="33"/>
      <c r="M11" s="33"/>
      <c r="N11" s="33">
        <f>$C$31*'E Balans VL '!Y11/100/3.6*1000000</f>
        <v>0.30390407494774241</v>
      </c>
      <c r="O11" s="33"/>
      <c r="P11" s="33"/>
      <c r="R11" s="32"/>
    </row>
    <row r="12" spans="1:18">
      <c r="A12" s="32" t="s">
        <v>260</v>
      </c>
      <c r="B12" s="37">
        <f t="shared" si="0"/>
        <v>9499.8999711000015</v>
      </c>
      <c r="C12" s="33"/>
      <c r="D12" s="37">
        <f>IF(ISERROR(TER_rest_gas_kWh/1000),0,TER_rest_gas_kWh/1000)*0.902</f>
        <v>9935.050383148</v>
      </c>
      <c r="E12" s="33">
        <f>$C$32*'E Balans VL '!I8/100/3.6*1000000</f>
        <v>167.26009911529613</v>
      </c>
      <c r="F12" s="33">
        <f>$C$32*('E Balans VL '!L8+'E Balans VL '!N8)/100/3.6*1000000</f>
        <v>2447.4718103450759</v>
      </c>
      <c r="G12" s="34"/>
      <c r="H12" s="33"/>
      <c r="I12" s="33"/>
      <c r="J12" s="33">
        <f>$C$32*('E Balans VL '!D8+'E Balans VL '!E8)/100/3.6*1000000</f>
        <v>0</v>
      </c>
      <c r="K12" s="33"/>
      <c r="L12" s="33"/>
      <c r="M12" s="33"/>
      <c r="N12" s="33">
        <f>$C$32*'E Balans VL '!Y8/100/3.6*1000000</f>
        <v>838.28976835007404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38863.27830554</v>
      </c>
      <c r="C16" s="21">
        <f t="shared" ca="1" si="1"/>
        <v>0</v>
      </c>
      <c r="D16" s="21">
        <f t="shared" ca="1" si="1"/>
        <v>25194.710943615843</v>
      </c>
      <c r="E16" s="21">
        <f t="shared" si="1"/>
        <v>529.9950710611248</v>
      </c>
      <c r="F16" s="21">
        <f t="shared" ca="1" si="1"/>
        <v>9243.4055246720982</v>
      </c>
      <c r="G16" s="21">
        <f t="shared" si="1"/>
        <v>0</v>
      </c>
      <c r="H16" s="21">
        <f t="shared" si="1"/>
        <v>0</v>
      </c>
      <c r="I16" s="21">
        <f t="shared" si="1"/>
        <v>0</v>
      </c>
      <c r="J16" s="21">
        <f t="shared" si="1"/>
        <v>0</v>
      </c>
      <c r="K16" s="21">
        <f t="shared" si="1"/>
        <v>0</v>
      </c>
      <c r="L16" s="21">
        <f t="shared" ca="1" si="1"/>
        <v>0</v>
      </c>
      <c r="M16" s="21">
        <f t="shared" si="1"/>
        <v>0</v>
      </c>
      <c r="N16" s="21">
        <f t="shared" ca="1" si="1"/>
        <v>13177.793158604976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0.22191971289033935</v>
      </c>
      <c r="C18" s="25">
        <f ca="1">'EF ele_warmte'!B22</f>
        <v>0.23754261439947602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8624.5275635427897</v>
      </c>
      <c r="C20" s="23">
        <f t="shared" ref="C20:P20" ca="1" si="2">C16*C18</f>
        <v>0</v>
      </c>
      <c r="D20" s="23">
        <f t="shared" ca="1" si="2"/>
        <v>5089.3316106104003</v>
      </c>
      <c r="E20" s="23">
        <f t="shared" si="2"/>
        <v>120.30888113087533</v>
      </c>
      <c r="F20" s="23">
        <f t="shared" ca="1" si="2"/>
        <v>2467.9892750874506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4657.2566178999996</v>
      </c>
      <c r="C26" s="39">
        <f>IF(ISERROR(B26*3.6/1000000/'E Balans VL '!Z12*100),0,B26*3.6/1000000/'E Balans VL '!Z12*100)</f>
        <v>9.9762054837198022E-2</v>
      </c>
      <c r="D26" s="237" t="s">
        <v>660</v>
      </c>
      <c r="F26" s="6"/>
    </row>
    <row r="27" spans="1:18">
      <c r="A27" s="231" t="s">
        <v>53</v>
      </c>
      <c r="B27" s="33">
        <f>IF(ISERROR(TER_horeca_ele_kWh/1000),0,TER_horeca_ele_kWh/1000)</f>
        <v>1420.5056414000001</v>
      </c>
      <c r="C27" s="39">
        <f>IF(ISERROR(B27*3.6/1000000/'E Balans VL '!Z9*100),0,B27*3.6/1000000/'E Balans VL '!Z9*100)</f>
        <v>0.11399064009513966</v>
      </c>
      <c r="D27" s="237" t="s">
        <v>660</v>
      </c>
      <c r="F27" s="6"/>
    </row>
    <row r="28" spans="1:18">
      <c r="A28" s="171" t="s">
        <v>52</v>
      </c>
      <c r="B28" s="33">
        <f>IF(ISERROR(TER_handel_ele_kWh/1000),0,TER_handel_ele_kWh/1000)</f>
        <v>7316.8671223000001</v>
      </c>
      <c r="C28" s="39">
        <f>IF(ISERROR(B28*3.6/1000000/'E Balans VL '!Z13*100),0,B28*3.6/1000000/'E Balans VL '!Z13*100)</f>
        <v>0.21580561223199907</v>
      </c>
      <c r="D28" s="237" t="s">
        <v>660</v>
      </c>
      <c r="F28" s="6"/>
    </row>
    <row r="29" spans="1:18">
      <c r="A29" s="231" t="s">
        <v>51</v>
      </c>
      <c r="B29" s="33">
        <f>IF(ISERROR(TER_gezond_ele_kWh/1000),0,TER_gezond_ele_kWh/1000)</f>
        <v>167.96444883000001</v>
      </c>
      <c r="C29" s="39">
        <f>IF(ISERROR(B29*3.6/1000000/'E Balans VL '!Z10*100),0,B29*3.6/1000000/'E Balans VL '!Z10*100)</f>
        <v>1.7934099839298671E-2</v>
      </c>
      <c r="D29" s="237" t="s">
        <v>660</v>
      </c>
      <c r="F29" s="6"/>
    </row>
    <row r="30" spans="1:18">
      <c r="A30" s="231" t="s">
        <v>50</v>
      </c>
      <c r="B30" s="33">
        <f>IF(ISERROR(TER_ander_ele_kWh/1000),0,TER_ander_ele_kWh/1000)</f>
        <v>15637.659534</v>
      </c>
      <c r="C30" s="39">
        <f>IF(ISERROR(B30*3.6/1000000/'E Balans VL '!Z14*100),0,B30*3.6/1000000/'E Balans VL '!Z14*100)</f>
        <v>1.1811738312150715</v>
      </c>
      <c r="D30" s="237" t="s">
        <v>660</v>
      </c>
      <c r="F30" s="6"/>
    </row>
    <row r="31" spans="1:18">
      <c r="A31" s="231" t="s">
        <v>55</v>
      </c>
      <c r="B31" s="33">
        <f>IF(ISERROR(TER_onderwijs_ele_kWh/1000),0,TER_onderwijs_ele_kWh/1000)</f>
        <v>163.12497001</v>
      </c>
      <c r="C31" s="39">
        <f>IF(ISERROR(B31*3.6/1000000/'E Balans VL '!Z11*100),0,B31*3.6/1000000/'E Balans VL '!Z11*100)</f>
        <v>3.2940376977208231E-2</v>
      </c>
      <c r="D31" s="237" t="s">
        <v>660</v>
      </c>
    </row>
    <row r="32" spans="1:18">
      <c r="A32" s="231" t="s">
        <v>260</v>
      </c>
      <c r="B32" s="33">
        <f>IF(ISERROR(TER_rest_ele_kWh/1000),0,TER_rest_ele_kWh/1000)</f>
        <v>9499.8999711000015</v>
      </c>
      <c r="C32" s="39">
        <f>IF(ISERROR(B32*3.6/1000000/'E Balans VL '!Z8*100),0,B32*3.6/1000000/'E Balans VL '!Z8*100)</f>
        <v>7.8767399275696676E-2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16969.973857546</v>
      </c>
      <c r="C5" s="17">
        <f>IF(ISERROR('Eigen informatie GS &amp; warmtenet'!B59),0,'Eigen informatie GS &amp; warmtenet'!B59)</f>
        <v>0</v>
      </c>
      <c r="D5" s="30">
        <f>SUM(D6:D15)</f>
        <v>52212.142869062227</v>
      </c>
      <c r="E5" s="17">
        <f>SUM(E6:E15)</f>
        <v>1215.7219399783473</v>
      </c>
      <c r="F5" s="17">
        <f>SUM(F6:F15)</f>
        <v>4758.0235413831087</v>
      </c>
      <c r="G5" s="18"/>
      <c r="H5" s="17"/>
      <c r="I5" s="17"/>
      <c r="J5" s="17">
        <f>SUM(J6:J15)</f>
        <v>112.07192953618805</v>
      </c>
      <c r="K5" s="17"/>
      <c r="L5" s="17"/>
      <c r="M5" s="17"/>
      <c r="N5" s="17">
        <f>SUM(N6:N15)</f>
        <v>3383.0555339766188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96.716562195999998</v>
      </c>
      <c r="C8" s="33"/>
      <c r="D8" s="37">
        <f>IF( ISERROR(IND_metaal_Gas_kWH/1000),0,IND_metaal_Gas_kWH/1000)*0.902</f>
        <v>0</v>
      </c>
      <c r="E8" s="33">
        <f>C30*'E Balans VL '!I18/100/3.6*1000000</f>
        <v>3.4801544952466417</v>
      </c>
      <c r="F8" s="33">
        <f>C30*'E Balans VL '!L18/100/3.6*1000000+C30*'E Balans VL '!N18/100/3.6*1000000</f>
        <v>42.232987497364036</v>
      </c>
      <c r="G8" s="34"/>
      <c r="H8" s="33"/>
      <c r="I8" s="33"/>
      <c r="J8" s="40">
        <f>C30*'E Balans VL '!D18/100/3.6*1000000+C30*'E Balans VL '!E18/100/3.6*1000000</f>
        <v>0</v>
      </c>
      <c r="K8" s="33"/>
      <c r="L8" s="33"/>
      <c r="M8" s="33"/>
      <c r="N8" s="33">
        <f>C30*'E Balans VL '!Y18/100/3.6*1000000</f>
        <v>4.8473683713952207</v>
      </c>
      <c r="O8" s="33"/>
      <c r="P8" s="33"/>
      <c r="R8" s="32"/>
    </row>
    <row r="9" spans="1:18">
      <c r="A9" s="6" t="s">
        <v>33</v>
      </c>
      <c r="B9" s="37">
        <f t="shared" si="0"/>
        <v>1719.0619546999999</v>
      </c>
      <c r="C9" s="33"/>
      <c r="D9" s="37">
        <f>IF( ISERROR(IND_andere_gas_kWh/1000),0,IND_andere_gas_kWh/1000)*0.902</f>
        <v>1398.4602400384001</v>
      </c>
      <c r="E9" s="33">
        <f>C31*'E Balans VL '!I19/100/3.6*1000000</f>
        <v>438.66571597331006</v>
      </c>
      <c r="F9" s="33">
        <f>C31*'E Balans VL '!L19/100/3.6*1000000+C31*'E Balans VL '!N19/100/3.6*1000000</f>
        <v>1479.983133276942</v>
      </c>
      <c r="G9" s="34"/>
      <c r="H9" s="33"/>
      <c r="I9" s="33"/>
      <c r="J9" s="40">
        <f>C31*'E Balans VL '!D19/100/3.6*1000000+C31*'E Balans VL '!E19/100/3.6*1000000</f>
        <v>0</v>
      </c>
      <c r="K9" s="33"/>
      <c r="L9" s="33"/>
      <c r="M9" s="33"/>
      <c r="N9" s="33">
        <f>C31*'E Balans VL '!Y19/100/3.6*1000000</f>
        <v>537.60954495814747</v>
      </c>
      <c r="O9" s="33"/>
      <c r="P9" s="33"/>
      <c r="R9" s="32"/>
    </row>
    <row r="10" spans="1:18">
      <c r="A10" s="6" t="s">
        <v>41</v>
      </c>
      <c r="B10" s="37">
        <f t="shared" si="0"/>
        <v>249.18136314999998</v>
      </c>
      <c r="C10" s="33"/>
      <c r="D10" s="37">
        <f>IF( ISERROR(IND_voed_gas_kWh/1000),0,IND_voed_gas_kWh/1000)*0.902</f>
        <v>442.32442997182005</v>
      </c>
      <c r="E10" s="33">
        <f>C32*'E Balans VL '!I20/100/3.6*1000000</f>
        <v>6.3345324053235501</v>
      </c>
      <c r="F10" s="33">
        <f>C32*'E Balans VL '!L20/100/3.6*1000000+C32*'E Balans VL '!N20/100/3.6*1000000</f>
        <v>56.386001946000178</v>
      </c>
      <c r="G10" s="34"/>
      <c r="H10" s="33"/>
      <c r="I10" s="33"/>
      <c r="J10" s="40">
        <f>C32*'E Balans VL '!D20/100/3.6*1000000+C32*'E Balans VL '!E20/100/3.6*1000000</f>
        <v>0</v>
      </c>
      <c r="K10" s="33"/>
      <c r="L10" s="33"/>
      <c r="M10" s="33"/>
      <c r="N10" s="33">
        <f>C32*'E Balans VL '!Y20/100/3.6*1000000</f>
        <v>93.449765507770536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1262.5630944999998</v>
      </c>
      <c r="C12" s="33"/>
      <c r="D12" s="37">
        <f>IF( ISERROR(IND_min_gas_kWh/1000),0,IND_min_gas_kWh/1000)*0.902</f>
        <v>0</v>
      </c>
      <c r="E12" s="33">
        <f>C34*'E Balans VL '!I22/100/3.6*1000000</f>
        <v>26.826301494449758</v>
      </c>
      <c r="F12" s="33">
        <f>C34*'E Balans VL '!L22/100/3.6*1000000+C34*'E Balans VL '!N22/100/3.6*1000000</f>
        <v>205.9979285548747</v>
      </c>
      <c r="G12" s="34"/>
      <c r="H12" s="33"/>
      <c r="I12" s="33"/>
      <c r="J12" s="40">
        <f>C34*'E Balans VL '!D22/100/3.6*1000000+C34*'E Balans VL '!E22/100/3.6*1000000</f>
        <v>1.4710038281268483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13642.450883</v>
      </c>
      <c r="C15" s="33"/>
      <c r="D15" s="37">
        <f>IF( ISERROR(IND_rest_gas_kWh/1000),0,IND_rest_gas_kWh/1000)*0.902</f>
        <v>50371.358199052003</v>
      </c>
      <c r="E15" s="33">
        <f>C37*'E Balans VL '!I15/100/3.6*1000000</f>
        <v>740.41523561001725</v>
      </c>
      <c r="F15" s="33">
        <f>C37*'E Balans VL '!L15/100/3.6*1000000+C37*'E Balans VL '!N15/100/3.6*1000000</f>
        <v>2973.423490107928</v>
      </c>
      <c r="G15" s="34"/>
      <c r="H15" s="33"/>
      <c r="I15" s="33"/>
      <c r="J15" s="40">
        <f>C37*'E Balans VL '!D15/100/3.6*1000000+C37*'E Balans VL '!E15/100/3.6*1000000</f>
        <v>110.6009257080612</v>
      </c>
      <c r="K15" s="33"/>
      <c r="L15" s="33"/>
      <c r="M15" s="33"/>
      <c r="N15" s="33">
        <f>C37*'E Balans VL '!Y15/100/3.6*1000000</f>
        <v>2747.1488551393059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16969.973857546</v>
      </c>
      <c r="C18" s="21">
        <f>C5+C16</f>
        <v>0</v>
      </c>
      <c r="D18" s="21">
        <f>MAX((D5+D16),0)</f>
        <v>52212.142869062227</v>
      </c>
      <c r="E18" s="21">
        <f>MAX((E5+E16),0)</f>
        <v>1215.7219399783473</v>
      </c>
      <c r="F18" s="21">
        <f>MAX((F5+F16),0)</f>
        <v>4758.0235413831087</v>
      </c>
      <c r="G18" s="21"/>
      <c r="H18" s="21"/>
      <c r="I18" s="21"/>
      <c r="J18" s="21">
        <f>MAX((J5+J16),0)</f>
        <v>112.07192953618805</v>
      </c>
      <c r="K18" s="21"/>
      <c r="L18" s="21">
        <f>MAX((L5+L16),0)</f>
        <v>0</v>
      </c>
      <c r="M18" s="21"/>
      <c r="N18" s="21">
        <f>MAX((N5+N16),0)</f>
        <v>3383.0555339766188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0.22191971289033935</v>
      </c>
      <c r="C20" s="25">
        <f ca="1">'EF ele_warmte'!B22</f>
        <v>0.23754261439947602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3765.9717262231729</v>
      </c>
      <c r="C22" s="23">
        <f ca="1">C18*C20</f>
        <v>0</v>
      </c>
      <c r="D22" s="23">
        <f>D18*D20</f>
        <v>10546.85285955057</v>
      </c>
      <c r="E22" s="23">
        <f>E18*E20</f>
        <v>275.96888037508484</v>
      </c>
      <c r="F22" s="23">
        <f>F18*F20</f>
        <v>1270.3922855492901</v>
      </c>
      <c r="G22" s="23"/>
      <c r="H22" s="23"/>
      <c r="I22" s="23"/>
      <c r="J22" s="23">
        <f>J18*J20</f>
        <v>39.673463055810565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96.716562195999998</v>
      </c>
      <c r="C30" s="39">
        <f>IF(ISERROR(B30*3.6/1000000/'E Balans VL '!Z18*100),0,B30*3.6/1000000/'E Balans VL '!Z18*100)</f>
        <v>2.0492165980888412E-2</v>
      </c>
      <c r="D30" s="237" t="s">
        <v>660</v>
      </c>
    </row>
    <row r="31" spans="1:18">
      <c r="A31" s="6" t="s">
        <v>33</v>
      </c>
      <c r="B31" s="37">
        <f>IF( ISERROR(IND_ander_ele_kWh/1000),0,IND_ander_ele_kWh/1000)</f>
        <v>1719.0619546999999</v>
      </c>
      <c r="C31" s="39">
        <f>IF(ISERROR(B31*3.6/1000000/'E Balans VL '!Z19*100),0,B31*3.6/1000000/'E Balans VL '!Z19*100)</f>
        <v>7.2359221087370487E-2</v>
      </c>
      <c r="D31" s="237" t="s">
        <v>660</v>
      </c>
    </row>
    <row r="32" spans="1:18">
      <c r="A32" s="171" t="s">
        <v>41</v>
      </c>
      <c r="B32" s="37">
        <f>IF( ISERROR(IND_voed_ele_kWh/1000),0,IND_voed_ele_kWh/1000)</f>
        <v>249.18136314999998</v>
      </c>
      <c r="C32" s="39">
        <f>IF(ISERROR(B32*3.6/1000000/'E Balans VL '!Z20*100),0,B32*3.6/1000000/'E Balans VL '!Z20*100)</f>
        <v>4.162856600742993E-2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1262.5630944999998</v>
      </c>
      <c r="C34" s="39">
        <f>IF(ISERROR(B34*3.6/1000000/'E Balans VL '!Z22*100),0,B34*3.6/1000000/'E Balans VL '!Z22*100)</f>
        <v>0.16003668121053355</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13642.450883</v>
      </c>
      <c r="C37" s="39">
        <f>IF(ISERROR(B37*3.6/1000000/'E Balans VL '!Z15*100),0,B37*3.6/1000000/'E Balans VL '!Z15*100)</f>
        <v>0.1101407885775622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1220.1188915299999</v>
      </c>
      <c r="C5" s="17">
        <f>'Eigen informatie GS &amp; warmtenet'!B60</f>
        <v>0</v>
      </c>
      <c r="D5" s="30">
        <f>IF(ISERROR(SUM(LB_lb_gas_kWh,LB_rest_gas_kWh,onbekend_gas_kWh)/1000),0,SUM(LB_lb_gas_kWh,LB_rest_gas_kWh,onbekend_gas_kWh)/1000)*0.902</f>
        <v>115512.12581934301</v>
      </c>
      <c r="E5" s="17">
        <f>B17*'E Balans VL '!I25/3.6*1000000/100</f>
        <v>31.462181497637403</v>
      </c>
      <c r="F5" s="17">
        <f>B17*('E Balans VL '!L25/3.6*1000000+'E Balans VL '!N25/3.6*1000000)/100</f>
        <v>4459.76690889764</v>
      </c>
      <c r="G5" s="18"/>
      <c r="H5" s="17"/>
      <c r="I5" s="17"/>
      <c r="J5" s="17">
        <f>('E Balans VL '!D25+'E Balans VL '!E25)/3.6*1000000*landbouw!B17/100</f>
        <v>175.65223628506766</v>
      </c>
      <c r="K5" s="17"/>
      <c r="L5" s="17">
        <f>L6*(-1)</f>
        <v>0</v>
      </c>
      <c r="M5" s="17"/>
      <c r="N5" s="17">
        <f>N6*(-1)</f>
        <v>72.749999999999986</v>
      </c>
      <c r="O5" s="17"/>
      <c r="P5" s="17"/>
      <c r="R5" s="32"/>
    </row>
    <row r="6" spans="1:18">
      <c r="A6" s="16" t="s">
        <v>491</v>
      </c>
      <c r="B6" s="17" t="s">
        <v>211</v>
      </c>
      <c r="C6" s="17">
        <f>'lokale energieproductie'!O91+'lokale energieproductie'!O60</f>
        <v>82765.660714285725</v>
      </c>
      <c r="D6" s="310">
        <f>('lokale energieproductie'!P60+'lokale energieproductie'!P91)*(-1)</f>
        <v>-165458.57142857145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-72.749999999999986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1220.1188915299999</v>
      </c>
      <c r="C8" s="21">
        <f>C5+C6</f>
        <v>82765.660714285725</v>
      </c>
      <c r="D8" s="21">
        <f>MAX((D5+D6),0)</f>
        <v>0</v>
      </c>
      <c r="E8" s="21">
        <f>MAX((E5+E6),0)</f>
        <v>31.462181497637403</v>
      </c>
      <c r="F8" s="21">
        <f>MAX((F5+F6),0)</f>
        <v>4459.76690889764</v>
      </c>
      <c r="G8" s="21"/>
      <c r="H8" s="21"/>
      <c r="I8" s="21"/>
      <c r="J8" s="21">
        <f>MAX((J5+J6),0)</f>
        <v>175.65223628506766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0.22191971289033935</v>
      </c>
      <c r="C10" s="31">
        <f ca="1">'EF ele_warmte'!B22</f>
        <v>0.23754261439947602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270.7684341004167</v>
      </c>
      <c r="C12" s="23">
        <f ca="1">C8*C10</f>
        <v>19660.371428571434</v>
      </c>
      <c r="D12" s="23">
        <f>D8*D10</f>
        <v>0</v>
      </c>
      <c r="E12" s="23">
        <f>E8*E10</f>
        <v>7.141915199963691</v>
      </c>
      <c r="F12" s="23">
        <f>F8*F10</f>
        <v>1190.7577646756699</v>
      </c>
      <c r="G12" s="23"/>
      <c r="H12" s="23"/>
      <c r="I12" s="23"/>
      <c r="J12" s="23">
        <f>J8*J10</f>
        <v>62.180891644913949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0.17204484559204838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140.43913620030582</v>
      </c>
      <c r="C26" s="247">
        <f>B26*'GWP N2O_CH4'!B5</f>
        <v>2949.2218602064222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30.917469718313583</v>
      </c>
      <c r="C27" s="247">
        <f>B27*'GWP N2O_CH4'!B5</f>
        <v>649.26686408458522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1.5549711240036357</v>
      </c>
      <c r="C28" s="247">
        <f>B28*'GWP N2O_CH4'!B4</f>
        <v>482.04104844112709</v>
      </c>
      <c r="D28" s="50"/>
    </row>
    <row r="29" spans="1:4">
      <c r="A29" s="41" t="s">
        <v>277</v>
      </c>
      <c r="B29" s="247">
        <f>B34*'ha_N2O bodem landbouw'!B4</f>
        <v>4.1256163047458356</v>
      </c>
      <c r="C29" s="247">
        <f>B29*'GWP N2O_CH4'!B4</f>
        <v>1278.9410544712091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9.2848786107943744E-4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2.3622204053074734E-4</v>
      </c>
      <c r="C5" s="463" t="s">
        <v>211</v>
      </c>
      <c r="D5" s="448">
        <f>SUM(D6:D11)</f>
        <v>4.9241752130381575E-4</v>
      </c>
      <c r="E5" s="448">
        <f>SUM(E6:E11)</f>
        <v>2.18505553797107E-3</v>
      </c>
      <c r="F5" s="461" t="s">
        <v>211</v>
      </c>
      <c r="G5" s="448">
        <f>SUM(G6:G11)</f>
        <v>0.77561768014384413</v>
      </c>
      <c r="H5" s="448">
        <f>SUM(H6:H11)</f>
        <v>0.13618062381250653</v>
      </c>
      <c r="I5" s="463" t="s">
        <v>211</v>
      </c>
      <c r="J5" s="463" t="s">
        <v>211</v>
      </c>
      <c r="K5" s="463" t="s">
        <v>211</v>
      </c>
      <c r="L5" s="463" t="s">
        <v>211</v>
      </c>
      <c r="M5" s="448">
        <f>SUM(M6:M11)</f>
        <v>2.8515507505119594E-2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1.0233558353682327E-4</v>
      </c>
      <c r="C6" s="449"/>
      <c r="D6" s="962">
        <f>vkm_2011_GW_PW*SUMIFS(TableVerdeelsleutelVkm[CNG],TableVerdeelsleutelVkm[Voertuigtype],"Lichte voertuigen")*SUMIFS(TableECFTransport[EnergieConsumptieFactor (PJ per km)],TableECFTransport[Index],CONCATENATE($A6,"_CNG_CNG"))</f>
        <v>2.0334259705244347E-4</v>
      </c>
      <c r="E6" s="962">
        <f>vkm_2011_GW_PW*SUMIFS(TableVerdeelsleutelVkm[LPG],TableVerdeelsleutelVkm[Voertuigtype],"Lichte voertuigen")*SUMIFS(TableECFTransport[EnergieConsumptieFactor (PJ per km)],TableECFTransport[Index],CONCATENATE($A6,"_LPG_LPG"))</f>
        <v>8.0022601225803423E-4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0.19026628835939499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5.505095844888535E-2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7.6443119398038294E-3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0.12406311690233426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4.0077685930363306E-5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3.9090389875867252E-3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7.3553855548041204E-6</v>
      </c>
      <c r="C8" s="449"/>
      <c r="D8" s="451">
        <f>vkm_2011_NGW_PW*SUMIFS(TableVerdeelsleutelVkm[CNG],TableVerdeelsleutelVkm[Voertuigtype],"Lichte voertuigen")*SUMIFS(TableECFTransport[EnergieConsumptieFactor (PJ per km)],TableECFTransport[Index],CONCATENATE($A8,"_CNG_CNG"))</f>
        <v>2.5878329258228743E-5</v>
      </c>
      <c r="E8" s="451">
        <f>vkm_2011_NGW_PW*SUMIFS(TableVerdeelsleutelVkm[LPG],TableVerdeelsleutelVkm[Voertuigtype],"Lichte voertuigen")*SUMIFS(TableECFTransport[EnergieConsumptieFactor (PJ per km)],TableECFTransport[Index],CONCATENATE($A8,"_LPG_LPG"))</f>
        <v>9.4184473013277152E-5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2.0911600630877884E-2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6.7934403752283783E-3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8.6244711573458762E-4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1.6274348659423165E-4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4.9719515073705954E-8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5.127712664528232E-6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1.2653107143911996E-4</v>
      </c>
      <c r="C10" s="449"/>
      <c r="D10" s="451">
        <f>vkm_2011_SW_PW*SUMIFS(TableVerdeelsleutelVkm[CNG],TableVerdeelsleutelVkm[Voertuigtype],"Lichte voertuigen")*SUMIFS(TableECFTransport[EnergieConsumptieFactor (PJ per km)],TableECFTransport[Index],CONCATENATE($A10,"_CNG_CNG"))</f>
        <v>2.6319659499314356E-4</v>
      </c>
      <c r="E10" s="451">
        <f>vkm_2011_SW_PW*SUMIFS(TableVerdeelsleutelVkm[LPG],TableVerdeelsleutelVkm[Voertuigtype],"Lichte voertuigen")*SUMIFS(TableECFTransport[EnergieConsumptieFactor (PJ per km)],TableECFTransport[Index],CONCATENATE($A10,"_LPG_LPG"))</f>
        <v>1.2906450526997586E-3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0.27489257752417057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7.4238556082378546E-2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1.088543482172386E-2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0.16532135324047226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5.7541500568831594E-5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5.2091469276060644E-3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65.617233480763147</v>
      </c>
      <c r="C14" s="21"/>
      <c r="D14" s="21">
        <f t="shared" ref="D14:M14" si="0">((D5)*10^9/3600)+D12</f>
        <v>136.78264480661548</v>
      </c>
      <c r="E14" s="21">
        <f t="shared" si="0"/>
        <v>606.95987165863062</v>
      </c>
      <c r="F14" s="21"/>
      <c r="G14" s="21">
        <f t="shared" si="0"/>
        <v>215449.35559551226</v>
      </c>
      <c r="H14" s="21">
        <f t="shared" si="0"/>
        <v>37827.95105902959</v>
      </c>
      <c r="I14" s="21"/>
      <c r="J14" s="21"/>
      <c r="K14" s="21"/>
      <c r="L14" s="21"/>
      <c r="M14" s="21">
        <f t="shared" si="0"/>
        <v>7920.974306977665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0.22191971289033935</v>
      </c>
      <c r="C16" s="56">
        <f ca="1">'EF ele_warmte'!B22</f>
        <v>0.23754261439947602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14.56175761470932</v>
      </c>
      <c r="C18" s="23"/>
      <c r="D18" s="23">
        <f t="shared" ref="D18:M18" si="1">D14*D16</f>
        <v>27.630094250936327</v>
      </c>
      <c r="E18" s="23">
        <f t="shared" si="1"/>
        <v>137.77989086650916</v>
      </c>
      <c r="F18" s="23"/>
      <c r="G18" s="23">
        <f t="shared" si="1"/>
        <v>57524.977944001774</v>
      </c>
      <c r="H18" s="23">
        <f t="shared" si="1"/>
        <v>9419.1598136983685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7.5655638949703062E-3</v>
      </c>
      <c r="H50" s="321">
        <f t="shared" si="2"/>
        <v>0</v>
      </c>
      <c r="I50" s="321">
        <f t="shared" si="2"/>
        <v>0</v>
      </c>
      <c r="J50" s="321">
        <f t="shared" si="2"/>
        <v>0</v>
      </c>
      <c r="K50" s="321">
        <f t="shared" si="2"/>
        <v>0</v>
      </c>
      <c r="L50" s="321">
        <f t="shared" si="2"/>
        <v>0</v>
      </c>
      <c r="M50" s="321">
        <f t="shared" si="2"/>
        <v>2.3466686647794646E-4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7.5655638949703062E-3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2.3466686647794646E-4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2101.5455263806407</v>
      </c>
      <c r="H54" s="21">
        <f t="shared" si="3"/>
        <v>0</v>
      </c>
      <c r="I54" s="21">
        <f t="shared" si="3"/>
        <v>0</v>
      </c>
      <c r="J54" s="21">
        <f t="shared" si="3"/>
        <v>0</v>
      </c>
      <c r="K54" s="21">
        <f t="shared" si="3"/>
        <v>0</v>
      </c>
      <c r="L54" s="21">
        <f t="shared" si="3"/>
        <v>0</v>
      </c>
      <c r="M54" s="21">
        <f t="shared" si="3"/>
        <v>65.185240688318459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0.22191971289033935</v>
      </c>
      <c r="C56" s="56">
        <f ca="1">'EF ele_warmte'!B22</f>
        <v>0.23754261439947602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561.11265554363115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3982.6707390637757</v>
      </c>
      <c r="C6" s="1203"/>
      <c r="D6" s="1188"/>
      <c r="E6" s="1188"/>
      <c r="F6" s="1206"/>
      <c r="G6" s="1209"/>
      <c r="H6" s="1200"/>
      <c r="I6" s="1188"/>
      <c r="J6" s="1188"/>
      <c r="K6" s="1188"/>
      <c r="L6" s="1192"/>
      <c r="M6" s="575"/>
      <c r="N6" s="1166"/>
      <c r="O6" s="1167"/>
      <c r="Q6" s="573"/>
      <c r="R6" s="1154"/>
      <c r="S6" s="1154"/>
    </row>
    <row r="7" spans="1:19" s="563" customFormat="1">
      <c r="A7" s="576" t="s">
        <v>252</v>
      </c>
      <c r="B7" s="577">
        <f>N57</f>
        <v>57935.962500000001</v>
      </c>
      <c r="C7" s="578">
        <f>B100</f>
        <v>68130</v>
      </c>
      <c r="D7" s="579"/>
      <c r="E7" s="579">
        <f>E100</f>
        <v>0</v>
      </c>
      <c r="F7" s="580"/>
      <c r="G7" s="581"/>
      <c r="H7" s="579">
        <f>I100</f>
        <v>0</v>
      </c>
      <c r="I7" s="579">
        <f>G100+F100</f>
        <v>0</v>
      </c>
      <c r="J7" s="579">
        <f>H100+D100+C100</f>
        <v>29.95588235294117</v>
      </c>
      <c r="K7" s="579"/>
      <c r="L7" s="582"/>
      <c r="M7" s="583">
        <f>C7*$C$11+D7*$D$11+E7*$E$11+F7*$F$11+G7*$G$11+H7*$H$11+I7*$I$11+J7*$J$11</f>
        <v>13762.26</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61918.633239063776</v>
      </c>
      <c r="C9" s="594">
        <f t="shared" ref="C9:L9" si="0">SUM(C7:C8)</f>
        <v>68130</v>
      </c>
      <c r="D9" s="594">
        <f t="shared" si="0"/>
        <v>0</v>
      </c>
      <c r="E9" s="594">
        <f t="shared" si="0"/>
        <v>0</v>
      </c>
      <c r="F9" s="594">
        <f t="shared" si="0"/>
        <v>0</v>
      </c>
      <c r="G9" s="594">
        <f t="shared" si="0"/>
        <v>0</v>
      </c>
      <c r="H9" s="594">
        <f t="shared" si="0"/>
        <v>0</v>
      </c>
      <c r="I9" s="594">
        <f t="shared" si="0"/>
        <v>0</v>
      </c>
      <c r="J9" s="594">
        <f t="shared" si="0"/>
        <v>29.95588235294117</v>
      </c>
      <c r="K9" s="594">
        <f t="shared" si="0"/>
        <v>0</v>
      </c>
      <c r="L9" s="594">
        <f t="shared" si="0"/>
        <v>0</v>
      </c>
      <c r="M9" s="595">
        <f>SUM(M4:M8)</f>
        <v>13762.26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82765.660714285725</v>
      </c>
      <c r="C16" s="610">
        <f>B101</f>
        <v>97328.571428571449</v>
      </c>
      <c r="D16" s="611"/>
      <c r="E16" s="611">
        <f>E101</f>
        <v>0</v>
      </c>
      <c r="F16" s="612"/>
      <c r="G16" s="613"/>
      <c r="H16" s="610">
        <f>I101</f>
        <v>0</v>
      </c>
      <c r="I16" s="611">
        <f>G101+F101</f>
        <v>0</v>
      </c>
      <c r="J16" s="611">
        <f>H101+D101+C101</f>
        <v>42.794117647058819</v>
      </c>
      <c r="K16" s="611"/>
      <c r="L16" s="614"/>
      <c r="M16" s="615">
        <f>C16*$C$21+E16*$E$21+H16*$H$21+I16*$I$21+J16*$J$21+D16*$D$21+F16*$F$21+G16*$G$21+K16*$K$21+L16*$L$21</f>
        <v>19660.371428571434</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82765.660714285725</v>
      </c>
      <c r="C19" s="593">
        <f>SUM(C16:C18)</f>
        <v>97328.571428571449</v>
      </c>
      <c r="D19" s="593">
        <f t="shared" ref="D19:M19" si="1">SUM(D16:D18)</f>
        <v>0</v>
      </c>
      <c r="E19" s="593">
        <f t="shared" si="1"/>
        <v>0</v>
      </c>
      <c r="F19" s="593">
        <f t="shared" si="1"/>
        <v>0</v>
      </c>
      <c r="G19" s="593">
        <f t="shared" si="1"/>
        <v>0</v>
      </c>
      <c r="H19" s="593">
        <f t="shared" si="1"/>
        <v>0</v>
      </c>
      <c r="I19" s="593">
        <f t="shared" si="1"/>
        <v>0</v>
      </c>
      <c r="J19" s="593">
        <f t="shared" si="1"/>
        <v>42.794117647058819</v>
      </c>
      <c r="K19" s="593">
        <f t="shared" si="1"/>
        <v>0</v>
      </c>
      <c r="L19" s="593">
        <f t="shared" si="1"/>
        <v>0</v>
      </c>
      <c r="M19" s="620">
        <f t="shared" si="1"/>
        <v>19660.371428571434</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11037</v>
      </c>
      <c r="C27" s="851">
        <v>2840</v>
      </c>
      <c r="D27" s="672" t="s">
        <v>818</v>
      </c>
      <c r="E27" s="671" t="s">
        <v>819</v>
      </c>
      <c r="F27" s="671" t="s">
        <v>820</v>
      </c>
      <c r="G27" s="671" t="s">
        <v>821</v>
      </c>
      <c r="H27" s="671" t="s">
        <v>822</v>
      </c>
      <c r="I27" s="671" t="s">
        <v>823</v>
      </c>
      <c r="J27" s="850">
        <v>41040</v>
      </c>
      <c r="K27" s="850">
        <v>39164</v>
      </c>
      <c r="L27" s="671" t="s">
        <v>824</v>
      </c>
      <c r="M27" s="671">
        <v>2358</v>
      </c>
      <c r="N27" s="671">
        <v>10611</v>
      </c>
      <c r="O27" s="671">
        <v>15158.571428571429</v>
      </c>
      <c r="P27" s="671">
        <v>30317.142857142859</v>
      </c>
      <c r="Q27" s="671">
        <v>0</v>
      </c>
      <c r="R27" s="671">
        <v>0</v>
      </c>
      <c r="S27" s="671">
        <v>0</v>
      </c>
      <c r="T27" s="671">
        <v>0</v>
      </c>
      <c r="U27" s="671">
        <v>0</v>
      </c>
      <c r="V27" s="671">
        <v>0</v>
      </c>
      <c r="W27" s="671">
        <v>0</v>
      </c>
      <c r="X27" s="671">
        <v>10</v>
      </c>
      <c r="Y27" s="671" t="s">
        <v>112</v>
      </c>
      <c r="Z27" s="673" t="s">
        <v>112</v>
      </c>
    </row>
    <row r="28" spans="1:26" s="625" customFormat="1" ht="25.5">
      <c r="A28" s="624"/>
      <c r="B28" s="851">
        <v>11037</v>
      </c>
      <c r="C28" s="851">
        <v>2840</v>
      </c>
      <c r="D28" s="672" t="s">
        <v>825</v>
      </c>
      <c r="E28" s="671" t="s">
        <v>826</v>
      </c>
      <c r="F28" s="671" t="s">
        <v>827</v>
      </c>
      <c r="G28" s="671" t="s">
        <v>821</v>
      </c>
      <c r="H28" s="671" t="s">
        <v>822</v>
      </c>
      <c r="I28" s="671" t="s">
        <v>826</v>
      </c>
      <c r="J28" s="850">
        <v>41523</v>
      </c>
      <c r="K28" s="850">
        <v>39170</v>
      </c>
      <c r="L28" s="671" t="s">
        <v>824</v>
      </c>
      <c r="M28" s="671">
        <v>1944</v>
      </c>
      <c r="N28" s="671">
        <v>8748</v>
      </c>
      <c r="O28" s="671">
        <v>12497.142857142857</v>
      </c>
      <c r="P28" s="671">
        <v>24994.285714285717</v>
      </c>
      <c r="Q28" s="671">
        <v>0</v>
      </c>
      <c r="R28" s="671">
        <v>0</v>
      </c>
      <c r="S28" s="671">
        <v>0</v>
      </c>
      <c r="T28" s="671">
        <v>0</v>
      </c>
      <c r="U28" s="671">
        <v>0</v>
      </c>
      <c r="V28" s="671">
        <v>0</v>
      </c>
      <c r="W28" s="671">
        <v>0</v>
      </c>
      <c r="X28" s="671">
        <v>10</v>
      </c>
      <c r="Y28" s="671" t="s">
        <v>112</v>
      </c>
      <c r="Z28" s="673" t="s">
        <v>112</v>
      </c>
    </row>
    <row r="29" spans="1:26" s="625" customFormat="1" ht="25.5">
      <c r="A29" s="624"/>
      <c r="B29" s="851">
        <v>11037</v>
      </c>
      <c r="C29" s="851">
        <v>2840</v>
      </c>
      <c r="D29" s="672" t="s">
        <v>828</v>
      </c>
      <c r="E29" s="671" t="s">
        <v>829</v>
      </c>
      <c r="F29" s="671" t="s">
        <v>830</v>
      </c>
      <c r="G29" s="671" t="s">
        <v>821</v>
      </c>
      <c r="H29" s="671" t="s">
        <v>822</v>
      </c>
      <c r="I29" s="671" t="s">
        <v>829</v>
      </c>
      <c r="J29" s="850">
        <v>41043</v>
      </c>
      <c r="K29" s="850">
        <v>39195</v>
      </c>
      <c r="L29" s="671" t="s">
        <v>824</v>
      </c>
      <c r="M29" s="671">
        <v>2358</v>
      </c>
      <c r="N29" s="671">
        <v>10611</v>
      </c>
      <c r="O29" s="671">
        <v>15158.571428571429</v>
      </c>
      <c r="P29" s="671">
        <v>30317.142857142859</v>
      </c>
      <c r="Q29" s="671">
        <v>0</v>
      </c>
      <c r="R29" s="671">
        <v>0</v>
      </c>
      <c r="S29" s="671">
        <v>0</v>
      </c>
      <c r="T29" s="671">
        <v>0</v>
      </c>
      <c r="U29" s="671">
        <v>0</v>
      </c>
      <c r="V29" s="671">
        <v>0</v>
      </c>
      <c r="W29" s="671">
        <v>0</v>
      </c>
      <c r="X29" s="671">
        <v>10</v>
      </c>
      <c r="Y29" s="671" t="s">
        <v>112</v>
      </c>
      <c r="Z29" s="673" t="s">
        <v>112</v>
      </c>
    </row>
    <row r="30" spans="1:26" s="625" customFormat="1" ht="25.5">
      <c r="A30" s="624"/>
      <c r="B30" s="851">
        <v>11037</v>
      </c>
      <c r="C30" s="851">
        <v>2840</v>
      </c>
      <c r="D30" s="672" t="s">
        <v>831</v>
      </c>
      <c r="E30" s="671" t="s">
        <v>832</v>
      </c>
      <c r="F30" s="671" t="s">
        <v>833</v>
      </c>
      <c r="G30" s="671" t="s">
        <v>821</v>
      </c>
      <c r="H30" s="671" t="s">
        <v>822</v>
      </c>
      <c r="I30" s="671" t="s">
        <v>832</v>
      </c>
      <c r="J30" s="850">
        <v>39838</v>
      </c>
      <c r="K30" s="850">
        <v>39198</v>
      </c>
      <c r="L30" s="671" t="s">
        <v>824</v>
      </c>
      <c r="M30" s="671">
        <v>2333</v>
      </c>
      <c r="N30" s="671">
        <v>10498.5</v>
      </c>
      <c r="O30" s="671">
        <v>14997.857142857143</v>
      </c>
      <c r="P30" s="671">
        <v>29995.714285714286</v>
      </c>
      <c r="Q30" s="671">
        <v>0</v>
      </c>
      <c r="R30" s="671">
        <v>0</v>
      </c>
      <c r="S30" s="671">
        <v>0</v>
      </c>
      <c r="T30" s="671">
        <v>0</v>
      </c>
      <c r="U30" s="671">
        <v>0</v>
      </c>
      <c r="V30" s="671">
        <v>0</v>
      </c>
      <c r="W30" s="671">
        <v>0</v>
      </c>
      <c r="X30" s="671">
        <v>10</v>
      </c>
      <c r="Y30" s="671" t="s">
        <v>112</v>
      </c>
      <c r="Z30" s="673" t="s">
        <v>112</v>
      </c>
    </row>
    <row r="31" spans="1:26" s="625" customFormat="1" ht="25.5">
      <c r="A31" s="624"/>
      <c r="B31" s="851">
        <v>11037</v>
      </c>
      <c r="C31" s="851">
        <v>2840</v>
      </c>
      <c r="D31" s="672" t="s">
        <v>834</v>
      </c>
      <c r="E31" s="671" t="s">
        <v>835</v>
      </c>
      <c r="F31" s="671" t="s">
        <v>836</v>
      </c>
      <c r="G31" s="671" t="s">
        <v>821</v>
      </c>
      <c r="H31" s="671" t="s">
        <v>822</v>
      </c>
      <c r="I31" s="671" t="s">
        <v>835</v>
      </c>
      <c r="J31" s="850">
        <v>39203</v>
      </c>
      <c r="K31" s="850">
        <v>39303</v>
      </c>
      <c r="L31" s="671" t="s">
        <v>824</v>
      </c>
      <c r="M31" s="671">
        <v>1532</v>
      </c>
      <c r="N31" s="671">
        <v>6894</v>
      </c>
      <c r="O31" s="671">
        <v>9848.5714285714294</v>
      </c>
      <c r="P31" s="671">
        <v>19697.142857142859</v>
      </c>
      <c r="Q31" s="671">
        <v>0</v>
      </c>
      <c r="R31" s="671">
        <v>0</v>
      </c>
      <c r="S31" s="671">
        <v>0</v>
      </c>
      <c r="T31" s="671">
        <v>0</v>
      </c>
      <c r="U31" s="671">
        <v>0</v>
      </c>
      <c r="V31" s="671">
        <v>0</v>
      </c>
      <c r="W31" s="671">
        <v>0</v>
      </c>
      <c r="X31" s="671">
        <v>10</v>
      </c>
      <c r="Y31" s="671" t="s">
        <v>112</v>
      </c>
      <c r="Z31" s="673" t="s">
        <v>112</v>
      </c>
    </row>
    <row r="32" spans="1:26" s="625" customFormat="1" ht="25.5">
      <c r="A32" s="624"/>
      <c r="B32" s="851">
        <v>11037</v>
      </c>
      <c r="C32" s="851">
        <v>2840</v>
      </c>
      <c r="D32" s="672" t="s">
        <v>837</v>
      </c>
      <c r="E32" s="671" t="s">
        <v>838</v>
      </c>
      <c r="F32" s="671" t="s">
        <v>839</v>
      </c>
      <c r="G32" s="671" t="s">
        <v>821</v>
      </c>
      <c r="H32" s="671" t="s">
        <v>822</v>
      </c>
      <c r="I32" s="671" t="s">
        <v>838</v>
      </c>
      <c r="J32" s="850">
        <v>39203</v>
      </c>
      <c r="K32" s="850">
        <v>39303</v>
      </c>
      <c r="L32" s="671" t="s">
        <v>824</v>
      </c>
      <c r="M32" s="671">
        <v>1532</v>
      </c>
      <c r="N32" s="671">
        <v>6894</v>
      </c>
      <c r="O32" s="671">
        <v>9848.5714285714294</v>
      </c>
      <c r="P32" s="671">
        <v>19697.142857142859</v>
      </c>
      <c r="Q32" s="671">
        <v>0</v>
      </c>
      <c r="R32" s="671">
        <v>0</v>
      </c>
      <c r="S32" s="671">
        <v>0</v>
      </c>
      <c r="T32" s="671">
        <v>0</v>
      </c>
      <c r="U32" s="671">
        <v>0</v>
      </c>
      <c r="V32" s="671">
        <v>0</v>
      </c>
      <c r="W32" s="671">
        <v>0</v>
      </c>
      <c r="X32" s="671">
        <v>11</v>
      </c>
      <c r="Y32" s="671" t="s">
        <v>112</v>
      </c>
      <c r="Z32" s="673" t="s">
        <v>112</v>
      </c>
    </row>
    <row r="33" spans="1:26" s="625" customFormat="1" ht="25.5">
      <c r="A33" s="624"/>
      <c r="B33" s="851">
        <v>11037</v>
      </c>
      <c r="C33" s="851">
        <v>2840</v>
      </c>
      <c r="D33" s="672" t="s">
        <v>840</v>
      </c>
      <c r="E33" s="671" t="s">
        <v>841</v>
      </c>
      <c r="F33" s="671" t="s">
        <v>842</v>
      </c>
      <c r="G33" s="671" t="s">
        <v>821</v>
      </c>
      <c r="H33" s="671" t="s">
        <v>822</v>
      </c>
      <c r="I33" s="671" t="s">
        <v>841</v>
      </c>
      <c r="J33" s="850">
        <v>41037</v>
      </c>
      <c r="K33" s="850">
        <v>41037</v>
      </c>
      <c r="L33" s="671" t="s">
        <v>824</v>
      </c>
      <c r="M33" s="671">
        <v>800</v>
      </c>
      <c r="N33" s="671">
        <v>3600</v>
      </c>
      <c r="O33" s="671">
        <v>5142.8571428571431</v>
      </c>
      <c r="P33" s="671">
        <v>10285.714285714286</v>
      </c>
      <c r="Q33" s="671">
        <v>0</v>
      </c>
      <c r="R33" s="671">
        <v>0</v>
      </c>
      <c r="S33" s="671">
        <v>0</v>
      </c>
      <c r="T33" s="671">
        <v>0</v>
      </c>
      <c r="U33" s="671">
        <v>0</v>
      </c>
      <c r="V33" s="671">
        <v>0</v>
      </c>
      <c r="W33" s="671">
        <v>0</v>
      </c>
      <c r="X33" s="671">
        <v>10</v>
      </c>
      <c r="Y33" s="671" t="s">
        <v>112</v>
      </c>
      <c r="Z33" s="673" t="s">
        <v>112</v>
      </c>
    </row>
    <row r="34" spans="1:26" s="625" customFormat="1" ht="25.5">
      <c r="A34" s="624"/>
      <c r="B34" s="851">
        <v>11037</v>
      </c>
      <c r="C34" s="851">
        <v>2840</v>
      </c>
      <c r="D34" s="672" t="s">
        <v>843</v>
      </c>
      <c r="E34" s="671" t="s">
        <v>844</v>
      </c>
      <c r="F34" s="671" t="s">
        <v>845</v>
      </c>
      <c r="G34" s="671" t="s">
        <v>821</v>
      </c>
      <c r="H34" s="671" t="s">
        <v>822</v>
      </c>
      <c r="I34" s="671" t="s">
        <v>844</v>
      </c>
      <c r="J34" s="850">
        <v>41431</v>
      </c>
      <c r="K34" s="850">
        <v>41431</v>
      </c>
      <c r="L34" s="671" t="s">
        <v>824</v>
      </c>
      <c r="M34" s="671">
        <v>12</v>
      </c>
      <c r="N34" s="671">
        <v>54</v>
      </c>
      <c r="O34" s="671">
        <v>77.142857142857139</v>
      </c>
      <c r="P34" s="671">
        <v>154.28571428571431</v>
      </c>
      <c r="Q34" s="671">
        <v>0</v>
      </c>
      <c r="R34" s="671">
        <v>0</v>
      </c>
      <c r="S34" s="671">
        <v>0</v>
      </c>
      <c r="T34" s="671">
        <v>0</v>
      </c>
      <c r="U34" s="671">
        <v>0</v>
      </c>
      <c r="V34" s="671">
        <v>0</v>
      </c>
      <c r="W34" s="671">
        <v>0</v>
      </c>
      <c r="X34" s="671">
        <v>10</v>
      </c>
      <c r="Y34" s="671" t="s">
        <v>112</v>
      </c>
      <c r="Z34" s="673" t="s">
        <v>112</v>
      </c>
    </row>
    <row r="35" spans="1:26" s="625" customFormat="1" ht="25.5">
      <c r="A35" s="624"/>
      <c r="B35" s="851">
        <v>11037</v>
      </c>
      <c r="C35" s="851">
        <v>2840</v>
      </c>
      <c r="D35" s="672"/>
      <c r="E35" s="671"/>
      <c r="F35" s="671" t="s">
        <v>846</v>
      </c>
      <c r="G35" s="671" t="s">
        <v>821</v>
      </c>
      <c r="H35" s="671" t="s">
        <v>822</v>
      </c>
      <c r="I35" s="671" t="s">
        <v>847</v>
      </c>
      <c r="J35" s="850">
        <v>42146</v>
      </c>
      <c r="K35" s="850">
        <v>42146</v>
      </c>
      <c r="L35" s="671" t="s">
        <v>824</v>
      </c>
      <c r="M35" s="671">
        <v>9.6999999999999993</v>
      </c>
      <c r="N35" s="671">
        <v>25.462499999999995</v>
      </c>
      <c r="O35" s="671">
        <v>36.374999999999993</v>
      </c>
      <c r="P35" s="671">
        <v>0</v>
      </c>
      <c r="Q35" s="671">
        <v>72.749999999999986</v>
      </c>
      <c r="R35" s="671">
        <v>0</v>
      </c>
      <c r="S35" s="671">
        <v>0</v>
      </c>
      <c r="T35" s="671">
        <v>0</v>
      </c>
      <c r="U35" s="671">
        <v>0</v>
      </c>
      <c r="V35" s="671">
        <v>0</v>
      </c>
      <c r="W35" s="671">
        <v>0</v>
      </c>
      <c r="X35" s="671">
        <v>10</v>
      </c>
      <c r="Y35" s="671" t="s">
        <v>112</v>
      </c>
      <c r="Z35" s="673" t="s">
        <v>112</v>
      </c>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12878.7</v>
      </c>
      <c r="N57" s="629">
        <f>SUM(N27:N56)</f>
        <v>57935.962500000001</v>
      </c>
      <c r="O57" s="629">
        <f t="shared" ref="O57:W57" si="2">SUM(O27:O56)</f>
        <v>82765.660714285725</v>
      </c>
      <c r="P57" s="629">
        <f t="shared" si="2"/>
        <v>165458.57142857145</v>
      </c>
      <c r="Q57" s="629">
        <f t="shared" si="2"/>
        <v>72.749999999999986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12878.7</v>
      </c>
      <c r="N60" s="634">
        <f t="shared" ref="N60:W60" si="4">SUMIF($Z$27:$Z$56,"landbouw",N27:N56)</f>
        <v>57935.962500000001</v>
      </c>
      <c r="O60" s="634">
        <f t="shared" si="4"/>
        <v>82765.660714285725</v>
      </c>
      <c r="P60" s="634">
        <f t="shared" si="4"/>
        <v>165458.57142857145</v>
      </c>
      <c r="Q60" s="634">
        <f t="shared" si="4"/>
        <v>72.749999999999986</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68130</v>
      </c>
      <c r="C100" s="663">
        <f t="shared" si="9"/>
        <v>29.95588235294117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97328.571428571449</v>
      </c>
      <c r="C101" s="666">
        <f t="shared" ref="C101:H101" si="10">$B$97*Q57</f>
        <v>42.794117647058819</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39939.218305540002</v>
      </c>
      <c r="D10" s="718">
        <f ca="1">tertiair!C16</f>
        <v>0</v>
      </c>
      <c r="E10" s="718">
        <f ca="1">tertiair!D16</f>
        <v>25194.710943615843</v>
      </c>
      <c r="F10" s="718">
        <f>tertiair!E16</f>
        <v>529.9950710611248</v>
      </c>
      <c r="G10" s="718">
        <f ca="1">tertiair!F16</f>
        <v>9243.4055246720982</v>
      </c>
      <c r="H10" s="718">
        <f>tertiair!G16</f>
        <v>0</v>
      </c>
      <c r="I10" s="718">
        <f>tertiair!H16</f>
        <v>0</v>
      </c>
      <c r="J10" s="718">
        <f>tertiair!I16</f>
        <v>0</v>
      </c>
      <c r="K10" s="718">
        <f>tertiair!J16</f>
        <v>0</v>
      </c>
      <c r="L10" s="718">
        <f>tertiair!K16</f>
        <v>0</v>
      </c>
      <c r="M10" s="718">
        <f ca="1">tertiair!L16</f>
        <v>0</v>
      </c>
      <c r="N10" s="718">
        <f>tertiair!M16</f>
        <v>0</v>
      </c>
      <c r="O10" s="718">
        <f ca="1">tertiair!N16</f>
        <v>13177.793158604976</v>
      </c>
      <c r="P10" s="718">
        <f>tertiair!O16</f>
        <v>0</v>
      </c>
      <c r="Q10" s="719">
        <f>tertiair!P16</f>
        <v>19.066666666666666</v>
      </c>
      <c r="R10" s="721">
        <f ca="1">SUM(C10:Q10)</f>
        <v>88104.189670160718</v>
      </c>
      <c r="S10" s="67"/>
    </row>
    <row r="11" spans="1:19" s="474" customFormat="1">
      <c r="A11" s="870" t="s">
        <v>225</v>
      </c>
      <c r="B11" s="875"/>
      <c r="C11" s="718">
        <f>huishoudens!B8</f>
        <v>26877.331749529447</v>
      </c>
      <c r="D11" s="718">
        <f>huishoudens!C8</f>
        <v>0</v>
      </c>
      <c r="E11" s="718">
        <f>huishoudens!D8</f>
        <v>69340.444059392015</v>
      </c>
      <c r="F11" s="718">
        <f>huishoudens!E8</f>
        <v>1137.5884729917591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5115.4749734733405</v>
      </c>
      <c r="P11" s="718">
        <f>huishoudens!O8</f>
        <v>146.95333333333335</v>
      </c>
      <c r="Q11" s="719">
        <f>huishoudens!P8</f>
        <v>533.86666666666667</v>
      </c>
      <c r="R11" s="721">
        <f>SUM(C11:Q11)</f>
        <v>103151.65925538656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16969.973857546</v>
      </c>
      <c r="D13" s="718">
        <f>industrie!C18</f>
        <v>0</v>
      </c>
      <c r="E13" s="718">
        <f>industrie!D18</f>
        <v>52212.142869062227</v>
      </c>
      <c r="F13" s="718">
        <f>industrie!E18</f>
        <v>1215.7219399783473</v>
      </c>
      <c r="G13" s="718">
        <f>industrie!F18</f>
        <v>4758.0235413831087</v>
      </c>
      <c r="H13" s="718">
        <f>industrie!G18</f>
        <v>0</v>
      </c>
      <c r="I13" s="718">
        <f>industrie!H18</f>
        <v>0</v>
      </c>
      <c r="J13" s="718">
        <f>industrie!I18</f>
        <v>0</v>
      </c>
      <c r="K13" s="718">
        <f>industrie!J18</f>
        <v>112.07192953618805</v>
      </c>
      <c r="L13" s="718">
        <f>industrie!K18</f>
        <v>0</v>
      </c>
      <c r="M13" s="718">
        <f>industrie!L18</f>
        <v>0</v>
      </c>
      <c r="N13" s="718">
        <f>industrie!M18</f>
        <v>0</v>
      </c>
      <c r="O13" s="718">
        <f>industrie!N18</f>
        <v>3383.0555339766188</v>
      </c>
      <c r="P13" s="718">
        <f>industrie!O18</f>
        <v>0</v>
      </c>
      <c r="Q13" s="719">
        <f>industrie!P18</f>
        <v>0</v>
      </c>
      <c r="R13" s="721">
        <f>SUM(C13:Q13)</f>
        <v>78650.989671482486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83786.523912615434</v>
      </c>
      <c r="D15" s="723">
        <f t="shared" ref="D15:Q15" ca="1" si="0">SUM(D9:D14)</f>
        <v>0</v>
      </c>
      <c r="E15" s="723">
        <f t="shared" ca="1" si="0"/>
        <v>146747.29787207008</v>
      </c>
      <c r="F15" s="723">
        <f t="shared" si="0"/>
        <v>2883.3054840312316</v>
      </c>
      <c r="G15" s="723">
        <f t="shared" ca="1" si="0"/>
        <v>14001.429066055207</v>
      </c>
      <c r="H15" s="723">
        <f t="shared" si="0"/>
        <v>0</v>
      </c>
      <c r="I15" s="723">
        <f t="shared" si="0"/>
        <v>0</v>
      </c>
      <c r="J15" s="723">
        <f t="shared" si="0"/>
        <v>0</v>
      </c>
      <c r="K15" s="723">
        <f t="shared" si="0"/>
        <v>112.07192953618805</v>
      </c>
      <c r="L15" s="723">
        <f t="shared" si="0"/>
        <v>0</v>
      </c>
      <c r="M15" s="723">
        <f t="shared" ca="1" si="0"/>
        <v>0</v>
      </c>
      <c r="N15" s="723">
        <f t="shared" si="0"/>
        <v>0</v>
      </c>
      <c r="O15" s="723">
        <f t="shared" ca="1" si="0"/>
        <v>21676.323666054934</v>
      </c>
      <c r="P15" s="723">
        <f t="shared" si="0"/>
        <v>146.95333333333335</v>
      </c>
      <c r="Q15" s="724">
        <f t="shared" si="0"/>
        <v>552.93333333333339</v>
      </c>
      <c r="R15" s="725">
        <f ca="1">SUM(R9:R14)</f>
        <v>269906.83859702974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2101.5455263806407</v>
      </c>
      <c r="I18" s="718">
        <f>transport!H54</f>
        <v>0</v>
      </c>
      <c r="J18" s="718">
        <f>transport!I54</f>
        <v>0</v>
      </c>
      <c r="K18" s="718">
        <f>transport!J54</f>
        <v>0</v>
      </c>
      <c r="L18" s="718">
        <f>transport!K54</f>
        <v>0</v>
      </c>
      <c r="M18" s="718">
        <f>transport!L54</f>
        <v>0</v>
      </c>
      <c r="N18" s="718">
        <f>transport!M54</f>
        <v>65.185240688318459</v>
      </c>
      <c r="O18" s="718">
        <f>transport!N54</f>
        <v>0</v>
      </c>
      <c r="P18" s="718">
        <f>transport!O54</f>
        <v>0</v>
      </c>
      <c r="Q18" s="719">
        <f>transport!P54</f>
        <v>0</v>
      </c>
      <c r="R18" s="721">
        <f>SUM(C18:Q18)</f>
        <v>2166.7307670689593</v>
      </c>
      <c r="S18" s="67"/>
    </row>
    <row r="19" spans="1:19" s="474" customFormat="1" ht="15" thickBot="1">
      <c r="A19" s="870" t="s">
        <v>307</v>
      </c>
      <c r="B19" s="875"/>
      <c r="C19" s="727">
        <f>transport!B14</f>
        <v>65.617233480763147</v>
      </c>
      <c r="D19" s="727">
        <f>transport!C14</f>
        <v>0</v>
      </c>
      <c r="E19" s="727">
        <f>transport!D14</f>
        <v>136.78264480661548</v>
      </c>
      <c r="F19" s="727">
        <f>transport!E14</f>
        <v>606.95987165863062</v>
      </c>
      <c r="G19" s="727">
        <f>transport!F14</f>
        <v>0</v>
      </c>
      <c r="H19" s="727">
        <f>transport!G14</f>
        <v>215449.35559551226</v>
      </c>
      <c r="I19" s="727">
        <f>transport!H14</f>
        <v>37827.95105902959</v>
      </c>
      <c r="J19" s="727">
        <f>transport!I14</f>
        <v>0</v>
      </c>
      <c r="K19" s="727">
        <f>transport!J14</f>
        <v>0</v>
      </c>
      <c r="L19" s="727">
        <f>transport!K14</f>
        <v>0</v>
      </c>
      <c r="M19" s="727">
        <f>transport!L14</f>
        <v>0</v>
      </c>
      <c r="N19" s="727">
        <f>transport!M14</f>
        <v>7920.974306977665</v>
      </c>
      <c r="O19" s="727">
        <f>transport!N14</f>
        <v>0</v>
      </c>
      <c r="P19" s="727">
        <f>transport!O14</f>
        <v>0</v>
      </c>
      <c r="Q19" s="728">
        <f>transport!P14</f>
        <v>0</v>
      </c>
      <c r="R19" s="729">
        <f>SUM(C19:Q19)</f>
        <v>262007.64071146553</v>
      </c>
      <c r="S19" s="67"/>
    </row>
    <row r="20" spans="1:19" s="474" customFormat="1" ht="15.75" thickBot="1">
      <c r="A20" s="730" t="s">
        <v>230</v>
      </c>
      <c r="B20" s="878"/>
      <c r="C20" s="873">
        <f>SUM(C17:C19)</f>
        <v>65.617233480763147</v>
      </c>
      <c r="D20" s="731">
        <f t="shared" ref="D20:R20" si="1">SUM(D17:D19)</f>
        <v>0</v>
      </c>
      <c r="E20" s="731">
        <f t="shared" si="1"/>
        <v>136.78264480661548</v>
      </c>
      <c r="F20" s="731">
        <f t="shared" si="1"/>
        <v>606.95987165863062</v>
      </c>
      <c r="G20" s="731">
        <f t="shared" si="1"/>
        <v>0</v>
      </c>
      <c r="H20" s="731">
        <f t="shared" si="1"/>
        <v>217550.90112189291</v>
      </c>
      <c r="I20" s="731">
        <f t="shared" si="1"/>
        <v>37827.95105902959</v>
      </c>
      <c r="J20" s="731">
        <f t="shared" si="1"/>
        <v>0</v>
      </c>
      <c r="K20" s="731">
        <f t="shared" si="1"/>
        <v>0</v>
      </c>
      <c r="L20" s="731">
        <f t="shared" si="1"/>
        <v>0</v>
      </c>
      <c r="M20" s="731">
        <f t="shared" si="1"/>
        <v>0</v>
      </c>
      <c r="N20" s="731">
        <f t="shared" si="1"/>
        <v>7986.1595476659832</v>
      </c>
      <c r="O20" s="731">
        <f t="shared" si="1"/>
        <v>0</v>
      </c>
      <c r="P20" s="731">
        <f t="shared" si="1"/>
        <v>0</v>
      </c>
      <c r="Q20" s="732">
        <f t="shared" si="1"/>
        <v>0</v>
      </c>
      <c r="R20" s="733">
        <f t="shared" si="1"/>
        <v>264174.37147853448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1220.1188915299999</v>
      </c>
      <c r="D22" s="727">
        <f>+landbouw!C8</f>
        <v>82765.660714285725</v>
      </c>
      <c r="E22" s="727">
        <f>+landbouw!D8</f>
        <v>0</v>
      </c>
      <c r="F22" s="727">
        <f>+landbouw!E8</f>
        <v>31.462181497637403</v>
      </c>
      <c r="G22" s="727">
        <f>+landbouw!F8</f>
        <v>4459.76690889764</v>
      </c>
      <c r="H22" s="727">
        <f>+landbouw!G8</f>
        <v>0</v>
      </c>
      <c r="I22" s="727">
        <f>+landbouw!H8</f>
        <v>0</v>
      </c>
      <c r="J22" s="727">
        <f>+landbouw!I8</f>
        <v>0</v>
      </c>
      <c r="K22" s="727">
        <f>+landbouw!J8</f>
        <v>175.65223628506766</v>
      </c>
      <c r="L22" s="727">
        <f>+landbouw!K8</f>
        <v>0</v>
      </c>
      <c r="M22" s="727">
        <f>+landbouw!L8</f>
        <v>0</v>
      </c>
      <c r="N22" s="727">
        <f>+landbouw!M8</f>
        <v>0</v>
      </c>
      <c r="O22" s="727">
        <f>+landbouw!N8</f>
        <v>0</v>
      </c>
      <c r="P22" s="727">
        <f>+landbouw!O8</f>
        <v>0</v>
      </c>
      <c r="Q22" s="728">
        <f>+landbouw!P8</f>
        <v>0</v>
      </c>
      <c r="R22" s="729">
        <f>SUM(C22:Q22)</f>
        <v>88652.660932496074</v>
      </c>
      <c r="S22" s="67"/>
    </row>
    <row r="23" spans="1:19" s="474" customFormat="1" ht="17.25" thickTop="1" thickBot="1">
      <c r="A23" s="734" t="s">
        <v>116</v>
      </c>
      <c r="B23" s="864"/>
      <c r="C23" s="735">
        <f ca="1">C20+C15+C22</f>
        <v>85072.260037626198</v>
      </c>
      <c r="D23" s="735">
        <f t="shared" ref="D23:Q23" ca="1" si="2">D20+D15+D22</f>
        <v>82765.660714285725</v>
      </c>
      <c r="E23" s="735">
        <f t="shared" ca="1" si="2"/>
        <v>146884.08051687668</v>
      </c>
      <c r="F23" s="735">
        <f t="shared" si="2"/>
        <v>3521.7275371874994</v>
      </c>
      <c r="G23" s="735">
        <f t="shared" ca="1" si="2"/>
        <v>18461.195974952847</v>
      </c>
      <c r="H23" s="735">
        <f t="shared" si="2"/>
        <v>217550.90112189291</v>
      </c>
      <c r="I23" s="735">
        <f t="shared" si="2"/>
        <v>37827.95105902959</v>
      </c>
      <c r="J23" s="735">
        <f t="shared" si="2"/>
        <v>0</v>
      </c>
      <c r="K23" s="735">
        <f t="shared" si="2"/>
        <v>287.72416582125572</v>
      </c>
      <c r="L23" s="735">
        <f t="shared" si="2"/>
        <v>0</v>
      </c>
      <c r="M23" s="735">
        <f t="shared" ca="1" si="2"/>
        <v>0</v>
      </c>
      <c r="N23" s="735">
        <f t="shared" si="2"/>
        <v>7986.1595476659832</v>
      </c>
      <c r="O23" s="735">
        <f t="shared" ca="1" si="2"/>
        <v>21676.323666054934</v>
      </c>
      <c r="P23" s="735">
        <f t="shared" si="2"/>
        <v>146.95333333333335</v>
      </c>
      <c r="Q23" s="736">
        <f t="shared" si="2"/>
        <v>552.93333333333339</v>
      </c>
      <c r="R23" s="737">
        <f ca="1">R20+R15+R22</f>
        <v>622733.87100806029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8863.2998594300207</v>
      </c>
      <c r="D36" s="718">
        <f ca="1">tertiair!C20</f>
        <v>0</v>
      </c>
      <c r="E36" s="718">
        <f ca="1">tertiair!D20</f>
        <v>5089.3316106104003</v>
      </c>
      <c r="F36" s="718">
        <f>tertiair!E20</f>
        <v>120.30888113087533</v>
      </c>
      <c r="G36" s="718">
        <f ca="1">tertiair!F20</f>
        <v>2467.9892750874506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16540.929626258749</v>
      </c>
    </row>
    <row r="37" spans="1:18">
      <c r="A37" s="885" t="s">
        <v>225</v>
      </c>
      <c r="B37" s="892"/>
      <c r="C37" s="718">
        <f ca="1">huishoudens!B12</f>
        <v>5964.6097451139767</v>
      </c>
      <c r="D37" s="718">
        <f ca="1">huishoudens!C12</f>
        <v>0</v>
      </c>
      <c r="E37" s="718">
        <f>huishoudens!D12</f>
        <v>14006.769699997189</v>
      </c>
      <c r="F37" s="718">
        <f>huishoudens!E12</f>
        <v>258.23258336912932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20229.612028480293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3765.9717262231729</v>
      </c>
      <c r="D39" s="718">
        <f ca="1">industrie!C22</f>
        <v>0</v>
      </c>
      <c r="E39" s="718">
        <f>industrie!D22</f>
        <v>10546.85285955057</v>
      </c>
      <c r="F39" s="718">
        <f>industrie!E22</f>
        <v>275.96888037508484</v>
      </c>
      <c r="G39" s="718">
        <f>industrie!F22</f>
        <v>1270.3922855492901</v>
      </c>
      <c r="H39" s="718">
        <f>industrie!G22</f>
        <v>0</v>
      </c>
      <c r="I39" s="718">
        <f>industrie!H22</f>
        <v>0</v>
      </c>
      <c r="J39" s="718">
        <f>industrie!I22</f>
        <v>0</v>
      </c>
      <c r="K39" s="718">
        <f>industrie!J22</f>
        <v>39.673463055810565</v>
      </c>
      <c r="L39" s="718">
        <f>industrie!K22</f>
        <v>0</v>
      </c>
      <c r="M39" s="718">
        <f>industrie!L22</f>
        <v>0</v>
      </c>
      <c r="N39" s="718">
        <f>industrie!M22</f>
        <v>0</v>
      </c>
      <c r="O39" s="718">
        <f>industrie!N22</f>
        <v>0</v>
      </c>
      <c r="P39" s="718">
        <f>industrie!O22</f>
        <v>0</v>
      </c>
      <c r="Q39" s="828">
        <f>industrie!P22</f>
        <v>0</v>
      </c>
      <c r="R39" s="918">
        <f ca="1">SUM(C39:Q39)</f>
        <v>15898.859214753929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18593.88133076717</v>
      </c>
      <c r="D41" s="763">
        <f t="shared" ref="D41:R41" ca="1" si="4">SUM(D35:D40)</f>
        <v>0</v>
      </c>
      <c r="E41" s="763">
        <f t="shared" ca="1" si="4"/>
        <v>29642.954170158158</v>
      </c>
      <c r="F41" s="763">
        <f t="shared" si="4"/>
        <v>654.51034487508946</v>
      </c>
      <c r="G41" s="763">
        <f t="shared" ca="1" si="4"/>
        <v>3738.3815606367407</v>
      </c>
      <c r="H41" s="763">
        <f t="shared" si="4"/>
        <v>0</v>
      </c>
      <c r="I41" s="763">
        <f t="shared" si="4"/>
        <v>0</v>
      </c>
      <c r="J41" s="763">
        <f t="shared" si="4"/>
        <v>0</v>
      </c>
      <c r="K41" s="763">
        <f t="shared" si="4"/>
        <v>39.673463055810565</v>
      </c>
      <c r="L41" s="763">
        <f t="shared" si="4"/>
        <v>0</v>
      </c>
      <c r="M41" s="763">
        <f t="shared" ca="1" si="4"/>
        <v>0</v>
      </c>
      <c r="N41" s="763">
        <f t="shared" si="4"/>
        <v>0</v>
      </c>
      <c r="O41" s="763">
        <f t="shared" ca="1" si="4"/>
        <v>0</v>
      </c>
      <c r="P41" s="763">
        <f t="shared" si="4"/>
        <v>0</v>
      </c>
      <c r="Q41" s="764">
        <f t="shared" si="4"/>
        <v>0</v>
      </c>
      <c r="R41" s="765">
        <f t="shared" ca="1" si="4"/>
        <v>52669.400869492973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561.11265554363115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561.11265554363115</v>
      </c>
    </row>
    <row r="45" spans="1:18" ht="15" thickBot="1">
      <c r="A45" s="888" t="s">
        <v>307</v>
      </c>
      <c r="B45" s="898"/>
      <c r="C45" s="727">
        <f ca="1">transport!B18</f>
        <v>14.56175761470932</v>
      </c>
      <c r="D45" s="727">
        <f>transport!C18</f>
        <v>0</v>
      </c>
      <c r="E45" s="727">
        <f>transport!D18</f>
        <v>27.630094250936327</v>
      </c>
      <c r="F45" s="727">
        <f>transport!E18</f>
        <v>137.77989086650916</v>
      </c>
      <c r="G45" s="727">
        <f>transport!F18</f>
        <v>0</v>
      </c>
      <c r="H45" s="727">
        <f>transport!G18</f>
        <v>57524.977944001774</v>
      </c>
      <c r="I45" s="727">
        <f>transport!H18</f>
        <v>9419.1598136983685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67124.1095004323</v>
      </c>
    </row>
    <row r="46" spans="1:18" ht="15.75" thickBot="1">
      <c r="A46" s="886" t="s">
        <v>230</v>
      </c>
      <c r="B46" s="899"/>
      <c r="C46" s="763">
        <f t="shared" ref="C46:R46" ca="1" si="5">SUM(C43:C45)</f>
        <v>14.56175761470932</v>
      </c>
      <c r="D46" s="763">
        <f t="shared" ca="1" si="5"/>
        <v>0</v>
      </c>
      <c r="E46" s="763">
        <f t="shared" si="5"/>
        <v>27.630094250936327</v>
      </c>
      <c r="F46" s="763">
        <f t="shared" si="5"/>
        <v>137.77989086650916</v>
      </c>
      <c r="G46" s="763">
        <f t="shared" si="5"/>
        <v>0</v>
      </c>
      <c r="H46" s="763">
        <f t="shared" si="5"/>
        <v>58086.090599545401</v>
      </c>
      <c r="I46" s="763">
        <f t="shared" si="5"/>
        <v>9419.1598136983685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67685.222155975935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270.7684341004167</v>
      </c>
      <c r="D48" s="718">
        <f ca="1">+landbouw!C12</f>
        <v>19660.371428571434</v>
      </c>
      <c r="E48" s="718">
        <f>+landbouw!D12</f>
        <v>0</v>
      </c>
      <c r="F48" s="718">
        <f>+landbouw!E12</f>
        <v>7.141915199963691</v>
      </c>
      <c r="G48" s="718">
        <f>+landbouw!F12</f>
        <v>1190.7577646756699</v>
      </c>
      <c r="H48" s="718">
        <f>+landbouw!G12</f>
        <v>0</v>
      </c>
      <c r="I48" s="718">
        <f>+landbouw!H12</f>
        <v>0</v>
      </c>
      <c r="J48" s="718">
        <f>+landbouw!I12</f>
        <v>0</v>
      </c>
      <c r="K48" s="718">
        <f>+landbouw!J12</f>
        <v>62.180891644913949</v>
      </c>
      <c r="L48" s="718">
        <f>+landbouw!K12</f>
        <v>0</v>
      </c>
      <c r="M48" s="718">
        <f>+landbouw!L12</f>
        <v>0</v>
      </c>
      <c r="N48" s="718">
        <f>+landbouw!M12</f>
        <v>0</v>
      </c>
      <c r="O48" s="718">
        <f>+landbouw!N12</f>
        <v>0</v>
      </c>
      <c r="P48" s="718">
        <f>+landbouw!O12</f>
        <v>0</v>
      </c>
      <c r="Q48" s="719">
        <f>+landbouw!P12</f>
        <v>0</v>
      </c>
      <c r="R48" s="761">
        <f ca="1">SUM(C48:Q48)</f>
        <v>21191.220434192401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18879.211522482296</v>
      </c>
      <c r="D53" s="773">
        <f t="shared" ref="D53:Q53" ca="1" si="6">D41+D46+D48</f>
        <v>19660.371428571434</v>
      </c>
      <c r="E53" s="773">
        <f t="shared" ca="1" si="6"/>
        <v>29670.584264409095</v>
      </c>
      <c r="F53" s="773">
        <f t="shared" si="6"/>
        <v>799.43215094156233</v>
      </c>
      <c r="G53" s="773">
        <f t="shared" ca="1" si="6"/>
        <v>4929.1393253124106</v>
      </c>
      <c r="H53" s="773">
        <f t="shared" si="6"/>
        <v>58086.090599545401</v>
      </c>
      <c r="I53" s="773">
        <f t="shared" si="6"/>
        <v>9419.1598136983685</v>
      </c>
      <c r="J53" s="773">
        <f t="shared" si="6"/>
        <v>0</v>
      </c>
      <c r="K53" s="773">
        <f t="shared" si="6"/>
        <v>101.85435470072451</v>
      </c>
      <c r="L53" s="773">
        <f t="shared" si="6"/>
        <v>0</v>
      </c>
      <c r="M53" s="773">
        <f t="shared" ca="1" si="6"/>
        <v>0</v>
      </c>
      <c r="N53" s="773">
        <f t="shared" si="6"/>
        <v>0</v>
      </c>
      <c r="O53" s="773">
        <f t="shared" ca="1" si="6"/>
        <v>0</v>
      </c>
      <c r="P53" s="773">
        <f>P41+P46+P48</f>
        <v>0</v>
      </c>
      <c r="Q53" s="774">
        <f t="shared" si="6"/>
        <v>0</v>
      </c>
      <c r="R53" s="775">
        <f ca="1">R41+R46+R48</f>
        <v>141545.84345966129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0.22191971289033935</v>
      </c>
      <c r="D55" s="836">
        <f t="shared" ca="1" si="7"/>
        <v>0.23754261439947602</v>
      </c>
      <c r="E55" s="836">
        <f t="shared" ca="1" si="7"/>
        <v>0.20200000000000004</v>
      </c>
      <c r="F55" s="836">
        <f t="shared" si="7"/>
        <v>0.22699999999999998</v>
      </c>
      <c r="G55" s="836">
        <f t="shared" ca="1" si="7"/>
        <v>0.26700000000000002</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3982.6707390637757</v>
      </c>
      <c r="C66" s="795">
        <f>'lokale energieproductie'!B6</f>
        <v>3982.6707390637757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57935.962500000001</v>
      </c>
      <c r="C67" s="794">
        <f>B67*IFERROR(SUM(J67:L67)/SUM(D67:M67),0)</f>
        <v>25.462499999999995</v>
      </c>
      <c r="D67" s="826">
        <f>'lokale energieproductie'!C7</f>
        <v>68130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29.95588235294117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13762.26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61918.633239063776</v>
      </c>
      <c r="C69" s="803">
        <f>SUM(C64:C68)</f>
        <v>4008.1332390637758</v>
      </c>
      <c r="D69" s="804">
        <f t="shared" ref="D69:M69" si="8">SUM(D67:D68)</f>
        <v>68130</v>
      </c>
      <c r="E69" s="804">
        <f t="shared" si="8"/>
        <v>0</v>
      </c>
      <c r="F69" s="804">
        <f t="shared" si="8"/>
        <v>0</v>
      </c>
      <c r="G69" s="804">
        <f t="shared" si="8"/>
        <v>0</v>
      </c>
      <c r="H69" s="804">
        <f t="shared" si="8"/>
        <v>0</v>
      </c>
      <c r="I69" s="804">
        <f t="shared" si="8"/>
        <v>0</v>
      </c>
      <c r="J69" s="804">
        <f t="shared" si="8"/>
        <v>0</v>
      </c>
      <c r="K69" s="804">
        <f t="shared" si="8"/>
        <v>29.95588235294117</v>
      </c>
      <c r="L69" s="804">
        <f t="shared" si="8"/>
        <v>0</v>
      </c>
      <c r="M69" s="930">
        <f t="shared" si="8"/>
        <v>0</v>
      </c>
      <c r="N69" s="805">
        <v>0</v>
      </c>
      <c r="O69" s="805">
        <f>SUM(O67:O68)</f>
        <v>13762.26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82765.660714285725</v>
      </c>
      <c r="C78" s="817">
        <f>B78*IFERROR(SUM(I78:L78)/SUM(D78:M78),0)</f>
        <v>36.374999999999993</v>
      </c>
      <c r="D78" s="832">
        <f>'lokale energieproductie'!C16</f>
        <v>97328.571428571449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42.794117647058819</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19660.371428571434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82765.660714285725</v>
      </c>
      <c r="C81" s="803">
        <f>SUM(C78:C80)</f>
        <v>36.374999999999993</v>
      </c>
      <c r="D81" s="803">
        <f t="shared" ref="D81:P81" si="9">SUM(D78:D80)</f>
        <v>97328.571428571449</v>
      </c>
      <c r="E81" s="803">
        <f t="shared" si="9"/>
        <v>0</v>
      </c>
      <c r="F81" s="803">
        <f t="shared" si="9"/>
        <v>0</v>
      </c>
      <c r="G81" s="803">
        <f t="shared" si="9"/>
        <v>0</v>
      </c>
      <c r="H81" s="803">
        <f t="shared" si="9"/>
        <v>0</v>
      </c>
      <c r="I81" s="803">
        <f t="shared" si="9"/>
        <v>0</v>
      </c>
      <c r="J81" s="803">
        <f t="shared" si="9"/>
        <v>0</v>
      </c>
      <c r="K81" s="803">
        <f t="shared" si="9"/>
        <v>42.794117647058819</v>
      </c>
      <c r="L81" s="803">
        <f t="shared" si="9"/>
        <v>0</v>
      </c>
      <c r="M81" s="803">
        <f t="shared" si="9"/>
        <v>0</v>
      </c>
      <c r="N81" s="803">
        <v>0</v>
      </c>
      <c r="O81" s="803">
        <f>SUM(O78:O80)</f>
        <v>19660.371428571434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26877.331749529447</v>
      </c>
      <c r="C4" s="478">
        <f>huishoudens!C8</f>
        <v>0</v>
      </c>
      <c r="D4" s="478">
        <f>huishoudens!D8</f>
        <v>69340.444059392015</v>
      </c>
      <c r="E4" s="478">
        <f>huishoudens!E8</f>
        <v>1137.5884729917591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5115.4749734733405</v>
      </c>
      <c r="O4" s="478">
        <f>huishoudens!O8</f>
        <v>146.95333333333335</v>
      </c>
      <c r="P4" s="479">
        <f>huishoudens!P8</f>
        <v>533.86666666666667</v>
      </c>
      <c r="Q4" s="480">
        <f>SUM(B4:P4)</f>
        <v>103151.65925538656</v>
      </c>
    </row>
    <row r="5" spans="1:17">
      <c r="A5" s="477" t="s">
        <v>156</v>
      </c>
      <c r="B5" s="478">
        <f ca="1">tertiair!B16</f>
        <v>38863.27830554</v>
      </c>
      <c r="C5" s="478">
        <f ca="1">tertiair!C16</f>
        <v>0</v>
      </c>
      <c r="D5" s="478">
        <f ca="1">tertiair!D16</f>
        <v>25194.710943615843</v>
      </c>
      <c r="E5" s="478">
        <f>tertiair!E16</f>
        <v>529.9950710611248</v>
      </c>
      <c r="F5" s="478">
        <f ca="1">tertiair!F16</f>
        <v>9243.4055246720982</v>
      </c>
      <c r="G5" s="478">
        <f>tertiair!G16</f>
        <v>0</v>
      </c>
      <c r="H5" s="478">
        <f>tertiair!H16</f>
        <v>0</v>
      </c>
      <c r="I5" s="478">
        <f>tertiair!I16</f>
        <v>0</v>
      </c>
      <c r="J5" s="478">
        <f>tertiair!J16</f>
        <v>0</v>
      </c>
      <c r="K5" s="478">
        <f>tertiair!K16</f>
        <v>0</v>
      </c>
      <c r="L5" s="478">
        <f ca="1">tertiair!L16</f>
        <v>0</v>
      </c>
      <c r="M5" s="478">
        <f>tertiair!M16</f>
        <v>0</v>
      </c>
      <c r="N5" s="478">
        <f ca="1">tertiair!N16</f>
        <v>13177.793158604976</v>
      </c>
      <c r="O5" s="478">
        <f>tertiair!O16</f>
        <v>0</v>
      </c>
      <c r="P5" s="479">
        <f>tertiair!P16</f>
        <v>19.066666666666666</v>
      </c>
      <c r="Q5" s="477">
        <f t="shared" ref="Q5:Q13" ca="1" si="0">SUM(B5:P5)</f>
        <v>87028.249670160716</v>
      </c>
    </row>
    <row r="6" spans="1:17">
      <c r="A6" s="477" t="s">
        <v>194</v>
      </c>
      <c r="B6" s="478">
        <f>'openbare verlichting'!B8</f>
        <v>1075.94</v>
      </c>
      <c r="C6" s="478"/>
      <c r="D6" s="478"/>
      <c r="E6" s="478"/>
      <c r="F6" s="478"/>
      <c r="G6" s="478"/>
      <c r="H6" s="478"/>
      <c r="I6" s="478"/>
      <c r="J6" s="478"/>
      <c r="K6" s="478"/>
      <c r="L6" s="478"/>
      <c r="M6" s="478"/>
      <c r="N6" s="478"/>
      <c r="O6" s="478"/>
      <c r="P6" s="479"/>
      <c r="Q6" s="477">
        <f t="shared" si="0"/>
        <v>1075.94</v>
      </c>
    </row>
    <row r="7" spans="1:17">
      <c r="A7" s="477" t="s">
        <v>112</v>
      </c>
      <c r="B7" s="478">
        <f>landbouw!B8</f>
        <v>1220.1188915299999</v>
      </c>
      <c r="C7" s="478">
        <f>landbouw!C8</f>
        <v>82765.660714285725</v>
      </c>
      <c r="D7" s="478">
        <f>landbouw!D8</f>
        <v>0</v>
      </c>
      <c r="E7" s="478">
        <f>landbouw!E8</f>
        <v>31.462181497637403</v>
      </c>
      <c r="F7" s="478">
        <f>landbouw!F8</f>
        <v>4459.76690889764</v>
      </c>
      <c r="G7" s="478">
        <f>landbouw!G8</f>
        <v>0</v>
      </c>
      <c r="H7" s="478">
        <f>landbouw!H8</f>
        <v>0</v>
      </c>
      <c r="I7" s="478">
        <f>landbouw!I8</f>
        <v>0</v>
      </c>
      <c r="J7" s="478">
        <f>landbouw!J8</f>
        <v>175.65223628506766</v>
      </c>
      <c r="K7" s="478">
        <f>landbouw!K8</f>
        <v>0</v>
      </c>
      <c r="L7" s="478">
        <f>landbouw!L8</f>
        <v>0</v>
      </c>
      <c r="M7" s="478">
        <f>landbouw!M8</f>
        <v>0</v>
      </c>
      <c r="N7" s="478">
        <f>landbouw!N8</f>
        <v>0</v>
      </c>
      <c r="O7" s="478">
        <f>landbouw!O8</f>
        <v>0</v>
      </c>
      <c r="P7" s="479">
        <f>landbouw!P8</f>
        <v>0</v>
      </c>
      <c r="Q7" s="477">
        <f t="shared" si="0"/>
        <v>88652.660932496074</v>
      </c>
    </row>
    <row r="8" spans="1:17">
      <c r="A8" s="477" t="s">
        <v>638</v>
      </c>
      <c r="B8" s="478">
        <f>industrie!B18</f>
        <v>16969.973857546</v>
      </c>
      <c r="C8" s="478">
        <f>industrie!C18</f>
        <v>0</v>
      </c>
      <c r="D8" s="478">
        <f>industrie!D18</f>
        <v>52212.142869062227</v>
      </c>
      <c r="E8" s="478">
        <f>industrie!E18</f>
        <v>1215.7219399783473</v>
      </c>
      <c r="F8" s="478">
        <f>industrie!F18</f>
        <v>4758.0235413831087</v>
      </c>
      <c r="G8" s="478">
        <f>industrie!G18</f>
        <v>0</v>
      </c>
      <c r="H8" s="478">
        <f>industrie!H18</f>
        <v>0</v>
      </c>
      <c r="I8" s="478">
        <f>industrie!I18</f>
        <v>0</v>
      </c>
      <c r="J8" s="478">
        <f>industrie!J18</f>
        <v>112.07192953618805</v>
      </c>
      <c r="K8" s="478">
        <f>industrie!K18</f>
        <v>0</v>
      </c>
      <c r="L8" s="478">
        <f>industrie!L18</f>
        <v>0</v>
      </c>
      <c r="M8" s="478">
        <f>industrie!M18</f>
        <v>0</v>
      </c>
      <c r="N8" s="478">
        <f>industrie!N18</f>
        <v>3383.0555339766188</v>
      </c>
      <c r="O8" s="478">
        <f>industrie!O18</f>
        <v>0</v>
      </c>
      <c r="P8" s="479">
        <f>industrie!P18</f>
        <v>0</v>
      </c>
      <c r="Q8" s="477">
        <f t="shared" si="0"/>
        <v>78650.989671482486</v>
      </c>
    </row>
    <row r="9" spans="1:17" s="483" customFormat="1">
      <c r="A9" s="481" t="s">
        <v>564</v>
      </c>
      <c r="B9" s="482">
        <f>transport!B14</f>
        <v>65.617233480763147</v>
      </c>
      <c r="C9" s="482">
        <f>transport!C14</f>
        <v>0</v>
      </c>
      <c r="D9" s="482">
        <f>transport!D14</f>
        <v>136.78264480661548</v>
      </c>
      <c r="E9" s="482">
        <f>transport!E14</f>
        <v>606.95987165863062</v>
      </c>
      <c r="F9" s="482">
        <f>transport!F14</f>
        <v>0</v>
      </c>
      <c r="G9" s="482">
        <f>transport!G14</f>
        <v>215449.35559551226</v>
      </c>
      <c r="H9" s="482">
        <f>transport!H14</f>
        <v>37827.95105902959</v>
      </c>
      <c r="I9" s="482">
        <f>transport!I14</f>
        <v>0</v>
      </c>
      <c r="J9" s="482">
        <f>transport!J14</f>
        <v>0</v>
      </c>
      <c r="K9" s="482">
        <f>transport!K14</f>
        <v>0</v>
      </c>
      <c r="L9" s="482">
        <f>transport!L14</f>
        <v>0</v>
      </c>
      <c r="M9" s="482">
        <f>transport!M14</f>
        <v>7920.974306977665</v>
      </c>
      <c r="N9" s="482">
        <f>transport!N14</f>
        <v>0</v>
      </c>
      <c r="O9" s="482">
        <f>transport!O14</f>
        <v>0</v>
      </c>
      <c r="P9" s="482">
        <f>transport!P14</f>
        <v>0</v>
      </c>
      <c r="Q9" s="481">
        <f>SUM(B9:P9)</f>
        <v>262007.64071146553</v>
      </c>
    </row>
    <row r="10" spans="1:17">
      <c r="A10" s="477" t="s">
        <v>554</v>
      </c>
      <c r="B10" s="478">
        <f>transport!B54</f>
        <v>0</v>
      </c>
      <c r="C10" s="478">
        <f>transport!C54</f>
        <v>0</v>
      </c>
      <c r="D10" s="478">
        <f>transport!D54</f>
        <v>0</v>
      </c>
      <c r="E10" s="478">
        <f>transport!E54</f>
        <v>0</v>
      </c>
      <c r="F10" s="478">
        <f>transport!F54</f>
        <v>0</v>
      </c>
      <c r="G10" s="478">
        <f>transport!G54</f>
        <v>2101.5455263806407</v>
      </c>
      <c r="H10" s="478">
        <f>transport!H54</f>
        <v>0</v>
      </c>
      <c r="I10" s="478">
        <f>transport!I54</f>
        <v>0</v>
      </c>
      <c r="J10" s="478">
        <f>transport!J54</f>
        <v>0</v>
      </c>
      <c r="K10" s="478">
        <f>transport!K54</f>
        <v>0</v>
      </c>
      <c r="L10" s="478">
        <f>transport!L54</f>
        <v>0</v>
      </c>
      <c r="M10" s="478">
        <f>transport!M54</f>
        <v>65.185240688318459</v>
      </c>
      <c r="N10" s="478">
        <f>transport!N54</f>
        <v>0</v>
      </c>
      <c r="O10" s="478">
        <f>transport!O54</f>
        <v>0</v>
      </c>
      <c r="P10" s="479">
        <f>transport!P54</f>
        <v>0</v>
      </c>
      <c r="Q10" s="477">
        <f t="shared" si="0"/>
        <v>2166.7307670689593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85072.260037626198</v>
      </c>
      <c r="C14" s="488">
        <f t="shared" ref="C14:Q14" ca="1" si="1">SUM(C4:C13)</f>
        <v>82765.660714285725</v>
      </c>
      <c r="D14" s="488">
        <f t="shared" ca="1" si="1"/>
        <v>146884.08051687668</v>
      </c>
      <c r="E14" s="488">
        <f t="shared" si="1"/>
        <v>3521.7275371874994</v>
      </c>
      <c r="F14" s="488">
        <f t="shared" ca="1" si="1"/>
        <v>18461.195974952847</v>
      </c>
      <c r="G14" s="488">
        <f t="shared" si="1"/>
        <v>217550.90112189291</v>
      </c>
      <c r="H14" s="488">
        <f t="shared" si="1"/>
        <v>37827.95105902959</v>
      </c>
      <c r="I14" s="488">
        <f t="shared" si="1"/>
        <v>0</v>
      </c>
      <c r="J14" s="488">
        <f t="shared" si="1"/>
        <v>287.72416582125572</v>
      </c>
      <c r="K14" s="488">
        <f t="shared" si="1"/>
        <v>0</v>
      </c>
      <c r="L14" s="488">
        <f t="shared" ca="1" si="1"/>
        <v>0</v>
      </c>
      <c r="M14" s="488">
        <f t="shared" si="1"/>
        <v>7986.1595476659832</v>
      </c>
      <c r="N14" s="488">
        <f t="shared" ca="1" si="1"/>
        <v>21676.323666054934</v>
      </c>
      <c r="O14" s="488">
        <f t="shared" si="1"/>
        <v>146.95333333333335</v>
      </c>
      <c r="P14" s="489">
        <f t="shared" si="1"/>
        <v>552.93333333333339</v>
      </c>
      <c r="Q14" s="489">
        <f t="shared" ca="1" si="1"/>
        <v>622733.87100806029</v>
      </c>
    </row>
    <row r="16" spans="1:17">
      <c r="A16" s="491" t="s">
        <v>559</v>
      </c>
      <c r="B16" s="841">
        <f ca="1">huishoudens!B10</f>
        <v>0.22191971289033935</v>
      </c>
      <c r="C16" s="841">
        <f ca="1">huishoudens!C10</f>
        <v>0.23754261439947602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5964.6097451139767</v>
      </c>
      <c r="C21" s="478">
        <f t="shared" ref="C21:C30" ca="1" si="3">C4*$C$16</f>
        <v>0</v>
      </c>
      <c r="D21" s="478">
        <f t="shared" ref="D21:D30" si="4">D4*$D$16</f>
        <v>14006.769699997189</v>
      </c>
      <c r="E21" s="478">
        <f t="shared" ref="E21:E30" si="5">E4*$E$16</f>
        <v>258.23258336912932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20229.612028480293</v>
      </c>
    </row>
    <row r="22" spans="1:17">
      <c r="A22" s="477" t="s">
        <v>156</v>
      </c>
      <c r="B22" s="478">
        <f t="shared" ca="1" si="2"/>
        <v>8624.5275635427897</v>
      </c>
      <c r="C22" s="478">
        <f t="shared" ca="1" si="3"/>
        <v>0</v>
      </c>
      <c r="D22" s="478">
        <f t="shared" ca="1" si="4"/>
        <v>5089.3316106104003</v>
      </c>
      <c r="E22" s="478">
        <f t="shared" si="5"/>
        <v>120.30888113087533</v>
      </c>
      <c r="F22" s="478">
        <f t="shared" ca="1" si="6"/>
        <v>2467.9892750874506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16302.157330371516</v>
      </c>
    </row>
    <row r="23" spans="1:17">
      <c r="A23" s="477" t="s">
        <v>194</v>
      </c>
      <c r="B23" s="478">
        <f t="shared" ca="1" si="2"/>
        <v>238.77229588723173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238.77229588723173</v>
      </c>
    </row>
    <row r="24" spans="1:17">
      <c r="A24" s="477" t="s">
        <v>112</v>
      </c>
      <c r="B24" s="478">
        <f t="shared" ca="1" si="2"/>
        <v>270.7684341004167</v>
      </c>
      <c r="C24" s="478">
        <f t="shared" ca="1" si="3"/>
        <v>19660.371428571434</v>
      </c>
      <c r="D24" s="478">
        <f t="shared" si="4"/>
        <v>0</v>
      </c>
      <c r="E24" s="478">
        <f t="shared" si="5"/>
        <v>7.141915199963691</v>
      </c>
      <c r="F24" s="478">
        <f t="shared" si="6"/>
        <v>1190.7577646756699</v>
      </c>
      <c r="G24" s="478">
        <f t="shared" si="7"/>
        <v>0</v>
      </c>
      <c r="H24" s="478">
        <f t="shared" si="8"/>
        <v>0</v>
      </c>
      <c r="I24" s="478">
        <f t="shared" si="9"/>
        <v>0</v>
      </c>
      <c r="J24" s="478">
        <f t="shared" si="10"/>
        <v>62.180891644913949</v>
      </c>
      <c r="K24" s="478">
        <f t="shared" si="11"/>
        <v>0</v>
      </c>
      <c r="L24" s="478">
        <f t="shared" si="12"/>
        <v>0</v>
      </c>
      <c r="M24" s="478">
        <f t="shared" si="13"/>
        <v>0</v>
      </c>
      <c r="N24" s="478">
        <f t="shared" si="14"/>
        <v>0</v>
      </c>
      <c r="O24" s="478">
        <f t="shared" si="15"/>
        <v>0</v>
      </c>
      <c r="P24" s="479">
        <f t="shared" si="16"/>
        <v>0</v>
      </c>
      <c r="Q24" s="477">
        <f t="shared" ca="1" si="17"/>
        <v>21191.220434192401</v>
      </c>
    </row>
    <row r="25" spans="1:17">
      <c r="A25" s="477" t="s">
        <v>638</v>
      </c>
      <c r="B25" s="478">
        <f t="shared" ca="1" si="2"/>
        <v>3765.9717262231729</v>
      </c>
      <c r="C25" s="478">
        <f t="shared" ca="1" si="3"/>
        <v>0</v>
      </c>
      <c r="D25" s="478">
        <f t="shared" si="4"/>
        <v>10546.85285955057</v>
      </c>
      <c r="E25" s="478">
        <f t="shared" si="5"/>
        <v>275.96888037508484</v>
      </c>
      <c r="F25" s="478">
        <f t="shared" si="6"/>
        <v>1270.3922855492901</v>
      </c>
      <c r="G25" s="478">
        <f t="shared" si="7"/>
        <v>0</v>
      </c>
      <c r="H25" s="478">
        <f t="shared" si="8"/>
        <v>0</v>
      </c>
      <c r="I25" s="478">
        <f t="shared" si="9"/>
        <v>0</v>
      </c>
      <c r="J25" s="478">
        <f t="shared" si="10"/>
        <v>39.673463055810565</v>
      </c>
      <c r="K25" s="478">
        <f t="shared" si="11"/>
        <v>0</v>
      </c>
      <c r="L25" s="478">
        <f t="shared" si="12"/>
        <v>0</v>
      </c>
      <c r="M25" s="478">
        <f t="shared" si="13"/>
        <v>0</v>
      </c>
      <c r="N25" s="478">
        <f t="shared" si="14"/>
        <v>0</v>
      </c>
      <c r="O25" s="478">
        <f t="shared" si="15"/>
        <v>0</v>
      </c>
      <c r="P25" s="479">
        <f t="shared" si="16"/>
        <v>0</v>
      </c>
      <c r="Q25" s="477">
        <f t="shared" ca="1" si="17"/>
        <v>15898.859214753929</v>
      </c>
    </row>
    <row r="26" spans="1:17" s="483" customFormat="1">
      <c r="A26" s="481" t="s">
        <v>564</v>
      </c>
      <c r="B26" s="835">
        <f t="shared" ca="1" si="2"/>
        <v>14.56175761470932</v>
      </c>
      <c r="C26" s="482">
        <f t="shared" ca="1" si="3"/>
        <v>0</v>
      </c>
      <c r="D26" s="482">
        <f t="shared" si="4"/>
        <v>27.630094250936327</v>
      </c>
      <c r="E26" s="482">
        <f t="shared" si="5"/>
        <v>137.77989086650916</v>
      </c>
      <c r="F26" s="482">
        <f t="shared" si="6"/>
        <v>0</v>
      </c>
      <c r="G26" s="482">
        <f t="shared" si="7"/>
        <v>57524.977944001774</v>
      </c>
      <c r="H26" s="482">
        <f t="shared" si="8"/>
        <v>9419.1598136983685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67124.1095004323</v>
      </c>
    </row>
    <row r="27" spans="1:17">
      <c r="A27" s="477" t="s">
        <v>554</v>
      </c>
      <c r="B27" s="478">
        <f t="shared" ca="1" si="2"/>
        <v>0</v>
      </c>
      <c r="C27" s="478">
        <f t="shared" ca="1" si="3"/>
        <v>0</v>
      </c>
      <c r="D27" s="478">
        <f t="shared" si="4"/>
        <v>0</v>
      </c>
      <c r="E27" s="478">
        <f t="shared" si="5"/>
        <v>0</v>
      </c>
      <c r="F27" s="478">
        <f t="shared" si="6"/>
        <v>0</v>
      </c>
      <c r="G27" s="478">
        <f t="shared" si="7"/>
        <v>561.11265554363115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561.11265554363115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18879.211522482296</v>
      </c>
      <c r="C31" s="488">
        <f t="shared" ca="1" si="18"/>
        <v>19660.371428571434</v>
      </c>
      <c r="D31" s="488">
        <f t="shared" ca="1" si="18"/>
        <v>29670.584264409095</v>
      </c>
      <c r="E31" s="488">
        <f t="shared" si="18"/>
        <v>799.43215094156233</v>
      </c>
      <c r="F31" s="488">
        <f t="shared" ca="1" si="18"/>
        <v>4929.1393253124106</v>
      </c>
      <c r="G31" s="488">
        <f t="shared" si="18"/>
        <v>58086.090599545401</v>
      </c>
      <c r="H31" s="488">
        <f t="shared" si="18"/>
        <v>9419.1598136983685</v>
      </c>
      <c r="I31" s="488">
        <f t="shared" si="18"/>
        <v>0</v>
      </c>
      <c r="J31" s="488">
        <f t="shared" si="18"/>
        <v>101.85435470072451</v>
      </c>
      <c r="K31" s="488">
        <f t="shared" si="18"/>
        <v>0</v>
      </c>
      <c r="L31" s="488">
        <f t="shared" ca="1" si="18"/>
        <v>0</v>
      </c>
      <c r="M31" s="488">
        <f t="shared" si="18"/>
        <v>0</v>
      </c>
      <c r="N31" s="488">
        <f t="shared" ca="1" si="18"/>
        <v>0</v>
      </c>
      <c r="O31" s="488">
        <f t="shared" si="18"/>
        <v>0</v>
      </c>
      <c r="P31" s="489">
        <f t="shared" si="18"/>
        <v>0</v>
      </c>
      <c r="Q31" s="489">
        <f t="shared" ca="1" si="18"/>
        <v>141545.84345966132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0.22191971289033935</v>
      </c>
      <c r="C17" s="528">
        <f ca="1">'EF ele_warmte'!B22</f>
        <v>0.23754261439947602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0.22191971289033935</v>
      </c>
      <c r="C17" s="528">
        <f ca="1">'EF ele_warmte'!B22</f>
        <v>0.23754261439947602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0.22191971289033935</v>
      </c>
      <c r="C29" s="529">
        <f ca="1">'EF ele_warmte'!B22</f>
        <v>0.23754261439947602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2018-06-27T09:40:26Z</dcterms:modified>
</cp:coreProperties>
</file>