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B13" i="15"/>
  <c r="F6" i="17"/>
  <c r="D16" i="16"/>
  <c r="D8" i="17"/>
  <c r="D12" s="1"/>
  <c r="E48" i="14" s="1"/>
  <c r="L16" i="16"/>
  <c r="L18" s="1"/>
  <c r="L8" i="48" s="1"/>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E8" i="17"/>
  <c r="F22" i="14" s="1"/>
  <c r="O22" i="16"/>
  <c r="P39" i="14" s="1"/>
  <c r="O18" i="16"/>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J23" i="14"/>
  <c r="L53"/>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3" i="14" l="1"/>
  <c r="N7" i="48"/>
  <c r="N24" s="1"/>
  <c r="I14"/>
  <c r="E7"/>
  <c r="E24" s="1"/>
  <c r="E12" i="17"/>
  <c r="F48" i="14" s="1"/>
  <c r="P41"/>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N20" s="1"/>
  <c r="N23" s="1"/>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19" s="1"/>
  <c r="C19" s="1"/>
  <c r="D35" i="14" s="1"/>
  <c r="F10"/>
  <c r="J9" i="18"/>
  <c r="M7"/>
  <c r="M9" s="1"/>
  <c r="L31" i="48"/>
  <c r="E5"/>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6" i="22"/>
  <c r="C29" i="20"/>
  <c r="Q5" i="48"/>
  <c r="O13" i="14"/>
  <c r="O15" s="1"/>
  <c r="Q4" i="48"/>
  <c r="N22"/>
  <c r="R11" i="14"/>
  <c r="J21" i="48"/>
  <c r="R10" i="14"/>
  <c r="C17" i="49" l="1"/>
  <c r="C56" i="22"/>
  <c r="C58" s="1"/>
  <c r="D44" i="14" s="1"/>
  <c r="D46" s="1"/>
  <c r="C10" i="17"/>
  <c r="C12" s="1"/>
  <c r="D48" i="14" s="1"/>
  <c r="C10" i="13"/>
  <c r="C16" i="48" s="1"/>
  <c r="C30" s="1"/>
  <c r="F22" i="16"/>
  <c r="G39" i="14" s="1"/>
  <c r="G41" s="1"/>
  <c r="C18" i="15"/>
  <c r="C20" s="1"/>
  <c r="D36" i="14" s="1"/>
  <c r="N22" i="16"/>
  <c r="O39" i="14" s="1"/>
  <c r="O41" s="1"/>
  <c r="C20" i="16"/>
  <c r="C22" s="1"/>
  <c r="D39" i="14" s="1"/>
  <c r="F8" i="48"/>
  <c r="Q8" s="1"/>
  <c r="Q14" s="1"/>
  <c r="N25"/>
  <c r="N31" s="1"/>
  <c r="N14"/>
  <c r="E25"/>
  <c r="E31" s="1"/>
  <c r="E14"/>
  <c r="K13" i="14"/>
  <c r="K15" s="1"/>
  <c r="K23" s="1"/>
  <c r="K55" s="1"/>
  <c r="H55"/>
  <c r="E55"/>
  <c r="C78"/>
  <c r="C81" s="1"/>
  <c r="J14" i="48"/>
  <c r="J31"/>
  <c r="R19" i="14"/>
  <c r="R20" s="1"/>
  <c r="H14" i="48"/>
  <c r="G31"/>
  <c r="H26"/>
  <c r="H31" s="1"/>
  <c r="F55" i="14"/>
  <c r="O53"/>
  <c r="G53"/>
  <c r="G55" s="1"/>
  <c r="O69" s="1"/>
  <c r="B9" i="6" s="1"/>
  <c r="B12" s="1"/>
  <c r="M53" i="14"/>
  <c r="M55" s="1"/>
  <c r="C28" i="48"/>
  <c r="C22"/>
  <c r="C25"/>
  <c r="C29"/>
  <c r="F25"/>
  <c r="F31" s="1"/>
  <c r="F14" l="1"/>
  <c r="C21"/>
  <c r="C31" s="1"/>
  <c r="C12" i="13"/>
  <c r="D37" i="14" s="1"/>
  <c r="D41" s="1"/>
  <c r="C26" i="48"/>
  <c r="C23"/>
  <c r="C24"/>
  <c r="R13" i="14"/>
  <c r="R15" s="1"/>
  <c r="C27"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<sst xmlns="http://schemas.openxmlformats.org/spreadsheetml/2006/main" count="1942" uniqueCount="827">
  <si>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</si>
  <si>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</si>
  <si>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</si>
  <si>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</si>
  <si>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</si>
  <si>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</si>
  <si>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</si>
  <si>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</si>
  <si>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</si>
  <si>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</si>
  <si>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</si>
  <si>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</si>
  <si>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</si>
  <si>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</si>
  <si>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</si>
  <si>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</si>
  <si>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</si>
  <si>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</si>
  <si>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</si>
  <si>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</si>
  <si>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</si>
  <si>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</si>
  <si>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</si>
  <si>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</si>
  <si>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</si>
  <si>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</si>
  <si>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</si>
  <si>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</si>
  <si>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</si>
  <si>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</si>
  <si>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</si>
  <si>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</si>
  <si>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</si>
  <si>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</si>
  <si>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</si>
  <si>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</si>
  <si>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</si>
  <si>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</si>
  <si>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</si>
  <si>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</si>
  <si>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</si>
  <si>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</si>
  <si>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</si>
  <si>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</si>
  <si>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</si>
  <si>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</si>
  <si>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</si>
  <si>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</si>
  <si>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</si>
  <si>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</si>
  <si>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</si>
  <si>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</si>
  <si>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</si>
  <si>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</si>
  <si>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</si>
  <si>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</si>
  <si>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</si>
  <si>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</si>
  <si>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</si>
  <si>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</si>
  <si>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</si>
  <si>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</si>
  <si>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</si>
  <si>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</si>
  <si>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</si>
  <si>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</si>
  <si>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</si>
  <si>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</si>
  <si>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</si>
  <si>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</si>
  <si>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</si>
  <si>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</si>
  <si>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</si>
  <si>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</si>
  <si>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</si>
  <si>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</si>
  <si>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</si>
  <si>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</si>
  <si>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</si>
  <si>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</si>
  <si>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</si>
  <si>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</si>
  <si>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</si>
  <si>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</si>
  <si>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</si>
  <si>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</si>
  <si>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</si>
  <si>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</si>
  <si>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</si>
  <si>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</si>
  <si>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</si>
  <si>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</si>
  <si>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</si>
  <si>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</si>
  <si>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</si>
  <si>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</si>
  <si>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</si>
  <si>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</si>
  <si>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</si>
  <si>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</si>
  <si>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</si>
  <si>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</si>
  <si>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</si>
  <si>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</si>
  <si>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</si>
  <si>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</si>
  <si>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</si>
  <si>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</si>
  <si>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</si>
  <si>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</si>
  <si>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</si>
  <si>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</si>
  <si>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</si>
  <si>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</si>
  <si>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</si>
  <si>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</si>
  <si>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</si>
  <si>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</si>
  <si>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</si>
  <si>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</si>
  <si>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</si>
  <si>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</si>
  <si>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</si>
  <si>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</si>
  <si>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</si>
  <si>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</si>
  <si>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</si>
  <si>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</si>
  <si>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</si>
  <si>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</si>
  <si>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</si>
  <si>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</si>
  <si>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</si>
  <si>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</si>
  <si>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</si>
  <si>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</si>
  <si>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</si>
  <si>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</si>
  <si>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</si>
  <si>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</si>
  <si>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</si>
  <si>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</si>
  <si>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</si>
  <si>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</si>
  <si>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</si>
  <si>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</si>
  <si>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</si>
  <si>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</si>
  <si>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</si>
  <si>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</si>
  <si>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</si>
  <si>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</si>
  <si>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</si>
  <si>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</si>
  <si>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</si>
  <si>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</si>
  <si>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</si>
  <si>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</si>
  <si>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</si>
  <si>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</si>
  <si>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</si>
  <si>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</si>
  <si>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</si>
  <si>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</si>
  <si>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</si>
  <si>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</si>
  <si>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</si>
  <si>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</si>
  <si>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</si>
  <si>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</si>
  <si>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</si>
  <si>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</si>
  <si>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</si>
  <si>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</si>
  <si>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</si>
  <si>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</si>
  <si>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</si>
  <si>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</si>
  <si>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</si>
  <si>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</si>
  <si>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</si>
  <si>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</si>
  <si>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</si>
  <si>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</si>
  <si>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</si>
  <si>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</si>
  <si>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</si>
  <si>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</si>
  <si>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</si>
  <si>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</si>
  <si>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</si>
  <si>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</si>
  <si>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</si>
  <si>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</si>
  <si>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</si>
  <si>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</si>
  <si>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</si>
  <si>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</si>
  <si>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</si>
  <si>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</si>
  <si>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</si>
  <si>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</si>
  <si>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</si>
  <si>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</si>
  <si>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</si>
  <si>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</si>
  <si>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</si>
  <si>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</si>
  <si>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</si>
  <si>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</si>
  <si>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</si>
  <si>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</si>
  <si>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</si>
  <si>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</si>
  <si>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</si>
  <si>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</si>
  <si>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</si>
  <si>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</si>
  <si>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</si>
  <si>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</si>
  <si>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</si>
  <si>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</si>
  <si>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</si>
  <si>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</si>
  <si>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</si>
  <si>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</si>
  <si>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</si>
  <si>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</si>
  <si>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</si>
  <si>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</si>
  <si>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</si>
  <si>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</si>
  <si>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</si>
  <si>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</si>
  <si>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</si>
  <si>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</si>
  <si>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</si>
  <si>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</si>
  <si>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</si>
  <si>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</si>
  <si>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</si>
  <si>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</si>
  <si>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</si>
  <si>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</si>
  <si>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</si>
  <si>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</si>
  <si>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</si>
  <si>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</si>
  <si>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</si>
  <si>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</si>
  <si>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</si>
  <si>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</si>
  <si>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</si>
  <si>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</si>
  <si>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</si>
  <si>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</si>
  <si>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</si>
  <si>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</si>
  <si>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</si>
  <si>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</si>
  <si>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</si>
  <si>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</si>
  <si>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</si>
  <si>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</si>
  <si>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</si>
  <si>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</si>
  <si>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</si>
  <si>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</si>
  <si>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</si>
  <si>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</si>
  <si>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</si>
  <si>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</si>
  <si>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</si>
  <si>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</si>
  <si>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</si>
  <si>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</si>
  <si>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</si>
  <si>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</si>
  <si>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</si>
  <si>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</si>
  <si>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</si>
  <si>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</si>
  <si>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</si>
  <si>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</si>
  <si>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</si>
  <si>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</si>
  <si>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</si>
  <si>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</si>
  <si>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</si>
  <si>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</si>
  <si>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</si>
  <si>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</si>
  <si>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</si>
  <si>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</si>
  <si>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</si>
  <si>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</si>
  <si>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</si>
  <si>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</si>
  <si>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</si>
  <si>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</si>
  <si>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</si>
  <si>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</si>
  <si>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</si>
  <si>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</si>
  <si>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</si>
  <si>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</si>
  <si>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</si>
  <si>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</si>
  <si>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</si>
  <si>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</si>
  <si>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</si>
  <si>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</si>
  <si>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</si>
  <si>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</si>
  <si>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</si>
  <si>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</si>
  <si>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</si>
  <si>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</si>
  <si>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</si>
  <si>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</si>
  <si>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</si>
  <si>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</si>
  <si>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</si>
  <si>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</si>
  <si>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</si>
  <si>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</si>
  <si>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</si>
  <si>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</si>
  <si>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</si>
  <si>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</si>
  <si>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</si>
  <si>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</si>
  <si>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</si>
  <si>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</si>
  <si>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</si>
  <si>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</si>
  <si>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</si>
  <si>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</si>
  <si>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</si>
  <si>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</si>
  <si>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</si>
  <si>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</si>
  <si>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</si>
  <si>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</si>
  <si>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</si>
  <si>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</si>
  <si>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</si>
  <si>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</si>
  <si>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</si>
  <si>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</si>
  <si>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</si>
  <si>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</si>
  <si>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</si>
  <si>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</si>
  <si>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</si>
  <si>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</si>
  <si>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</si>
  <si>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</si>
  <si>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</si>
  <si>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</si>
  <si>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</si>
  <si>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</si>
  <si>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</si>
  <si>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</si>
  <si>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</si>
  <si>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</si>
  <si>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</si>
  <si>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</si>
  <si>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</si>
  <si>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</si>
  <si>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</si>
  <si>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</si>
  <si>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</si>
  <si>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</si>
  <si>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</si>
  <si>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</si>
  <si>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</si>
  <si>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</si>
  <si>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</si>
  <si>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</si>
  <si>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</si>
  <si>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</si>
  <si>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</si>
  <si>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</si>
  <si>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</si>
  <si>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</si>
  <si>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</si>
  <si>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</si>
  <si>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</si>
  <si>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</si>
  <si>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</si>
  <si>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</si>
  <si>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</si>
  <si>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</si>
  <si>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</si>
  <si>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</si>
  <si>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</si>
  <si>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</si>
  <si>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</si>
  <si>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</si>
  <si>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</si>
  <si>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</si>
  <si>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</si>
  <si>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</si>
  <si>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</si>
  <si>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</si>
  <si>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</si>
  <si>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</si>
  <si>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</si>
  <si>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</si>
  <si>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</si>
  <si>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</si>
  <si>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</si>
  <si>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</si>
  <si>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</si>
  <si>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</si>
  <si>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</si>
  <si>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</si>
  <si>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</si>
  <si>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</si>
  <si>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</si>
  <si>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</si>
  <si>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</si>
  <si>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</si>
  <si>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</si>
  <si>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</si>
  <si>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</si>
  <si>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</si>
  <si>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</si>
  <si>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</si>
  <si>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</si>
  <si>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</si>
  <si>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</si>
  <si>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</si>
  <si>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</si>
  <si>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</si>
  <si>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</si>
  <si>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</si>
  <si>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</si>
  <si>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</si>
  <si>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</si>
  <si>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</si>
  <si>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</si>
  <si>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</si>
  <si>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</si>
  <si>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</si>
  <si>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</si>
  <si>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</si>
  <si>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</si>
  <si>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</si>
  <si>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</si>
  <si>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</si>
  <si>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</si>
  <si>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</si>
  <si>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</si>
  <si>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</si>
  <si>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</si>
  <si>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</si>
  <si>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</si>
  <si>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</si>
  <si>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</si>
  <si>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</si>
  <si>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</si>
  <si>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</si>
  <si>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</si>
  <si>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</si>
  <si>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</si>
  <si>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</si>
  <si>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</si>
  <si>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</si>
  <si>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</si>
  <si>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</si>
  <si>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</si>
  <si>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</si>
  <si>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</si>
  <si>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</si>
  <si>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</si>
  <si>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</si>
  <si>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</si>
  <si>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</si>
  <si>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</si>
  <si>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</si>
  <si>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</si>
  <si>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</si>
  <si>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</si>
  <si>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</si>
  <si>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</si>
  <si>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</si>
  <si>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</si>
  <si>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</si>
  <si>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</si>
  <si>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</si>
  <si>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</si>
  <si>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</si>
  <si>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</si>
  <si>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</si>
  <si>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</si>
  <si>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</si>
  <si>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</si>
  <si>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</si>
  <si>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</si>
  <si>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</si>
  <si>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</si>
  <si>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</si>
  <si>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</si>
  <si>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</si>
  <si>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</si>
  <si>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</si>
  <si>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</si>
  <si>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</si>
  <si>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</si>
  <si>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</si>
  <si>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</si>
  <si>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</si>
  <si>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</si>
  <si>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</si>
  <si>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</si>
  <si>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</si>
  <si>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</si>
  <si>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</si>
  <si>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</si>
  <si>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</si>
  <si>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</si>
  <si>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</si>
  <si>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</si>
  <si>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</si>
  <si>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</si>
  <si>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</si>
  <si>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</si>
  <si>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</si>
  <si>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</si>
  <si>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</si>
  <si>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</si>
  <si>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</si>
  <si>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</si>
  <si>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</si>
  <si>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</si>
  <si>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</si>
  <si>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</si>
  <si>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</si>
  <si>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</si>
  <si>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</si>
  <si>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</si>
  <si>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</si>
  <si>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</si>
  <si>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</si>
  <si>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</si>
  <si>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</si>
  <si>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</si>
  <si>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</si>
  <si>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</si>
  <si>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</si>
  <si>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</si>
  <si>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</si>
  <si>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</si>
  <si>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</si>
  <si>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</si>
  <si>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</si>
  <si>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</si>
  <si>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</si>
  <si>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</si>
  <si>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</si>
  <si>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</si>
  <si>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</si>
  <si>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</si>
  <si>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</si>
  <si>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</si>
  <si>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</si>
  <si>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</si>
  <si>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</si>
  <si>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</si>
  <si>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</si>
  <si>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</si>
  <si>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</si>
  <si>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</si>
  <si>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</si>
  <si>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</si>
  <si>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</si>
  <si>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</si>
  <si>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</si>
  <si>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</si>
  <si>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</si>
  <si>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</si>
  <si>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</si>
  <si>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</si>
  <si>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</si>
  <si>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</si>
  <si>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</si>
  <si>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</si>
  <si>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</si>
  <si>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</si>
  <si>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</si>
  <si>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</si>
  <si>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</si>
  <si>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</si>
  <si>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</si>
  <si>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</si>
  <si>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</si>
  <si>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</si>
  <si>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</si>
  <si>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</si>
  <si>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</si>
  <si>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</si>
  <si>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</si>
  <si>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</si>
  <si>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</si>
  <si>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</si>
  <si>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</si>
  <si>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</si>
  <si>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</si>
  <si>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</si>
  <si>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</si>
  <si>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</si>
  <si>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</si>
  <si>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</si>
  <si>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</si>
  <si>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</si>
  <si>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</si>
  <si>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</si>
  <si>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</si>
  <si>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</si>
  <si>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</si>
  <si>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</si>
  <si>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</si>
  <si>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</si>
  <si>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</si>
  <si>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</si>
  <si>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</si>
  <si>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</si>
  <si>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</si>
  <si>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</si>
  <si>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</si>
  <si>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</si>
  <si>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</si>
  <si>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</si>
  <si>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</si>
  <si>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</si>
  <si>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</si>
  <si>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</si>
  <si>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</si>
  <si>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</si>
  <si>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</si>
  <si>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</si>
  <si>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</si>
  <si>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</si>
  <si>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</si>
  <si>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</si>
  <si>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</si>
  <si>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</si>
  <si>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</si>
  <si>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</si>
  <si>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</si>
  <si>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</si>
  <si>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</si>
  <si>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</si>
  <si>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</si>
  <si>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</si>
  <si>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</si>
  <si>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</si>
  <si>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</si>
  <si>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</si>
  <si>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</si>
  <si>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</si>
  <si>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</si>
  <si>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</si>
  <si>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</si>
  <si>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</si>
  <si>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</si>
  <si>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</si>
  <si>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</si>
  <si>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</si>
  <si>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</si>
  <si>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</si>
  <si>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</si>
  <si>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</si>
  <si>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</si>
  <si>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</si>
  <si>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</si>
  <si>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</si>
  <si>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</si>
  <si>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</si>
  <si>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</si>
  <si>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</si>
  <si>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</si>
  <si>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</si>
  <si>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</si>
  <si>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</si>
  <si>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</si>
  <si>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</si>
  <si>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</si>
  <si>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</si>
  <si>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</si>
  <si>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</si>
  <si>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</si>
  <si>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</si>
  <si>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</si>
  <si>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</si>
  <si>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</si>
  <si>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</si>
  <si>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</si>
  <si>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</si>
  <si>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</si>
  <si>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</si>
  <si>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</si>
  <si>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</si>
  <si>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</si>
  <si>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</si>
  <si>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</si>
  <si>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</si>
  <si>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</si>
  <si>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</si>
  <si>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</si>
  <si>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</si>
  <si>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</si>
  <si>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</si>
  <si>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</si>
  <si>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</si>
  <si>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</si>
  <si>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</si>
  <si>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</si>
  <si>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</si>
  <si>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</si>
  <si>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</si>
  <si>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</si>
  <si>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</si>
  <si>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</si>
  <si>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</si>
  <si>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</si>
  <si>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</si>
  <si>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</si>
  <si>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</si>
  <si>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</si>
  <si>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</si>
  <si>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</si>
  <si>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</si>
  <si>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</si>
  <si>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</si>
  <si>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</si>
  <si>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</si>
  <si>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</si>
  <si>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</si>
  <si>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</si>
  <si>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</si>
  <si>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</si>
  <si>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</si>
  <si>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</si>
  <si>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</si>
  <si>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</si>
  <si>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</si>
  <si>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</si>
  <si>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</si>
  <si>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</si>
  <si>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</si>
  <si>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</si>
  <si>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</si>
  <si>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</si>
  <si>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</si>
  <si>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</si>
  <si>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</si>
  <si>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</si>
  <si>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</si>
  <si>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</si>
  <si>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</si>
  <si>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</si>
  <si>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</si>
  <si>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</si>
  <si>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</si>
  <si>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</si>
  <si>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</si>
  <si>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</si>
  <si>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</si>
  <si>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</si>
  <si>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</si>
  <si>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</si>
  <si>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</si>
  <si>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</si>
  <si>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</si>
  <si>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</si>
  <si>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</si>
  <si>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</si>
  <si>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</si>
  <si>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</si>
  <si>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</si>
  <si>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</si>
  <si>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</si>
  <si>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</si>
  <si>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</si>
  <si>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</si>
  <si>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</si>
  <si>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</si>
  <si>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</si>
  <si>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</si>
  <si>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</si>
  <si>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</si>
  <si>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</si>
  <si>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</si>
  <si>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</si>
  <si>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</si>
  <si>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</si>
  <si>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</si>
  <si>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</si>
  <si>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</si>
  <si>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</si>
  <si>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</si>
  <si>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</si>
  <si>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</si>
  <si>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</si>
  <si>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</si>
  <si>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</si>
  <si>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</si>
  <si>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11021</t>
  </si>
  <si>
    <t>HOVE</t>
  </si>
  <si>
    <t>Paarden&amp;pony's 200 - 600 kg</t>
  </si>
  <si>
    <t>Paarden&amp;pony's &lt; 200 kg</t>
  </si>
  <si>
    <t>referentietaak LNE (2017); Jaarverslag De Lijn (2015)</t>
  </si>
  <si>
    <t>op basis van VEA (maart 2018) en Inventaris Hernieuwbare Energiebronnen (juni 2018)</t>
  </si>
  <si>
    <t>VEA (januari 2017)</t>
  </si>
  <si>
    <t>VEA (juni 2018)</t>
  </si>
  <si>
    <t>Biolectric nv</t>
  </si>
  <si>
    <t>Jan de Malschelaan 4 B, 9140 Temse</t>
  </si>
  <si>
    <t>WKK-0337 Physt</t>
  </si>
  <si>
    <t>interne verbrandingsmotor</t>
  </si>
  <si>
    <t>WKK interne verbrandinsgmotor (gas)</t>
  </si>
  <si>
    <t>Boshoekstraat 111 , 2540 Hove</t>
  </si>
  <si>
    <t>IVEKA</t>
  </si>
  <si>
    <t>WKK-0422 Tom De Bontridder</t>
  </si>
  <si>
    <t>Boshoekstraat 111 A, 2540 Hove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</si>
</sst>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64572.904877730922</c:v>
                </c:pt>
                <c:pt idx="1">
                  <c:v>21155.324965736705</c:v>
                </c:pt>
                <c:pt idx="2">
                  <c:v>617.11400000000003</c:v>
                </c:pt>
                <c:pt idx="3">
                  <c:v>2647.8749277788193</c:v>
                </c:pt>
                <c:pt idx="4">
                  <c:v>3024.664778180073</c:v>
                </c:pt>
                <c:pt idx="5">
                  <c:v>12682.947713181991</c:v>
                </c:pt>
                <c:pt idx="6">
                  <c:v>937.15747337545668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79296"/>
        <c:axId val="183080832"/>
      </c:barChart>
      <c:catAx>
        <c:axId val="183079296"/>
        <c:scaling>
          <c:orientation val="minMax"/>
        </c:scaling>
        <c:axPos val="b"/>
        <c:numFmt formatCode="General" sourceLinked="0"/>
        <c:tickLblPos val="nextTo"/>
        <c:crossAx val="183080832"/>
        <c:crosses val="autoZero"/>
        <c:auto val="1"/>
        <c:lblAlgn val="ctr"/>
        <c:lblOffset val="100"/>
      </c:catAx>
      <c:valAx>
        <c:axId val="183080832"/>
        <c:scaling>
          <c:orientation val="minMax"/>
        </c:scaling>
        <c:axPos val="l"/>
        <c:majorGridlines/>
        <c:numFmt formatCode="#,##0" sourceLinked="1"/>
        <c:tickLblPos val="nextTo"/>
        <c:crossAx val="183079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64572.904877730922</c:v>
                </c:pt>
                <c:pt idx="1">
                  <c:v>21155.324965736705</c:v>
                </c:pt>
                <c:pt idx="2">
                  <c:v>617.11400000000003</c:v>
                </c:pt>
                <c:pt idx="3">
                  <c:v>2647.8749277788193</c:v>
                </c:pt>
                <c:pt idx="4">
                  <c:v>3024.664778180073</c:v>
                </c:pt>
                <c:pt idx="5">
                  <c:v>12682.947713181991</c:v>
                </c:pt>
                <c:pt idx="6">
                  <c:v>937.15747337545668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12723.378705218915</c:v>
                </c:pt>
                <c:pt idx="1">
                  <c:v>4365.628663115961</c:v>
                </c:pt>
                <c:pt idx="2">
                  <c:v>129.50512253317953</c:v>
                </c:pt>
                <c:pt idx="3">
                  <c:v>583.99068689947717</c:v>
                </c:pt>
                <c:pt idx="4">
                  <c:v>576.36391571214244</c:v>
                </c:pt>
                <c:pt idx="5">
                  <c:v>3236.0232116075094</c:v>
                </c:pt>
                <c:pt idx="6">
                  <c:v>242.69324391401247</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516160"/>
        <c:axId val="183612160"/>
      </c:barChart>
      <c:catAx>
        <c:axId val="183516160"/>
        <c:scaling>
          <c:orientation val="minMax"/>
        </c:scaling>
        <c:axPos val="b"/>
        <c:numFmt formatCode="General" sourceLinked="0"/>
        <c:tickLblPos val="nextTo"/>
        <c:crossAx val="183612160"/>
        <c:crosses val="autoZero"/>
        <c:auto val="1"/>
        <c:lblAlgn val="ctr"/>
        <c:lblOffset val="100"/>
      </c:catAx>
      <c:valAx>
        <c:axId val="183612160"/>
        <c:scaling>
          <c:orientation val="minMax"/>
        </c:scaling>
        <c:axPos val="l"/>
        <c:majorGridlines/>
        <c:numFmt formatCode="#,##0" sourceLinked="1"/>
        <c:tickLblPos val="nextTo"/>
        <c:crossAx val="18351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12723.378705218915</c:v>
                </c:pt>
                <c:pt idx="1">
                  <c:v>4365.628663115961</c:v>
                </c:pt>
                <c:pt idx="2">
                  <c:v>129.50512253317953</c:v>
                </c:pt>
                <c:pt idx="3">
                  <c:v>583.99068689947717</c:v>
                </c:pt>
                <c:pt idx="4">
                  <c:v>576.36391571214244</c:v>
                </c:pt>
                <c:pt idx="5">
                  <c:v>3236.0232116075094</c:v>
                </c:pt>
                <c:pt idx="6">
                  <c:v>242.69324391401247</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11021</v>
      </c>
      <c r="B6" s="415"/>
      <c r="C6" s="416"/>
    </row>
    <row r="7" spans="1:7" s="413" customFormat="1" ht="15.75" customHeight="1">
      <c r="A7" s="417" t="str">
        <f>txtMunicipality</f>
        <v>HOVE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11021</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3226</v>
      </c>
      <c r="C9" s="342">
        <v>3350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150.16</v>
      </c>
    </row>
    <row r="15" spans="1:6">
      <c r="A15" s="348" t="s">
        <v>184</v>
      </c>
      <c r="B15" s="334">
        <v>8</v>
      </c>
    </row>
    <row r="16" spans="1:6">
      <c r="A16" s="348" t="s">
        <v>6</v>
      </c>
      <c r="B16" s="334">
        <v>499</v>
      </c>
    </row>
    <row r="17" spans="1:6">
      <c r="A17" s="348" t="s">
        <v>7</v>
      </c>
      <c r="B17" s="334">
        <v>12</v>
      </c>
    </row>
    <row r="18" spans="1:6">
      <c r="A18" s="348" t="s">
        <v>8</v>
      </c>
      <c r="B18" s="334">
        <v>254</v>
      </c>
    </row>
    <row r="19" spans="1:6">
      <c r="A19" s="348" t="s">
        <v>9</v>
      </c>
      <c r="B19" s="334">
        <v>198</v>
      </c>
    </row>
    <row r="20" spans="1:6">
      <c r="A20" s="348" t="s">
        <v>10</v>
      </c>
      <c r="B20" s="334">
        <v>126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78</v>
      </c>
    </row>
    <row r="27" spans="1:6">
      <c r="A27" s="348" t="s">
        <v>17</v>
      </c>
      <c r="B27" s="334">
        <v>0</v>
      </c>
    </row>
    <row r="28" spans="1:6" s="356" customFormat="1">
      <c r="A28" s="355" t="s">
        <v>18</v>
      </c>
      <c r="B28" s="355">
        <v>0</v>
      </c>
    </row>
    <row r="29" spans="1:6">
      <c r="A29" s="355" t="s">
        <v>812</v>
      </c>
      <c r="B29" s="355">
        <v>1</v>
      </c>
      <c r="C29" s="356"/>
      <c r="D29" s="356"/>
      <c r="E29" s="356"/>
      <c r="F29" s="356"/>
    </row>
    <row r="30" spans="1:6">
      <c r="A30" s="355" t="s">
        <v>813</v>
      </c>
      <c r="B30" s="341">
        <v>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3276.8391965000001</v>
      </c>
    </row>
    <row r="39" spans="1:6">
      <c r="A39" s="348" t="s">
        <v>30</v>
      </c>
      <c r="B39" s="348" t="s">
        <v>31</v>
      </c>
      <c r="C39" s="334">
        <v>2580</v>
      </c>
      <c r="D39" s="334">
        <v>49865362.274999999</v>
      </c>
      <c r="E39" s="334">
        <v>3119</v>
      </c>
      <c r="F39" s="334">
        <v>12937551.393999999</v>
      </c>
    </row>
    <row r="40" spans="1:6">
      <c r="A40" s="348" t="s">
        <v>30</v>
      </c>
      <c r="B40" s="348" t="s">
        <v>29</v>
      </c>
      <c r="C40" s="334">
        <v>0</v>
      </c>
      <c r="D40" s="334">
        <v>0</v>
      </c>
      <c r="E40" s="334">
        <v>0</v>
      </c>
      <c r="F40" s="334">
        <v>0</v>
      </c>
    </row>
    <row r="41" spans="1:6">
      <c r="A41" s="348" t="s">
        <v>32</v>
      </c>
      <c r="B41" s="348" t="s">
        <v>33</v>
      </c>
      <c r="C41" s="334">
        <v>11</v>
      </c>
      <c r="D41" s="334">
        <v>204924.87027000001</v>
      </c>
      <c r="E41" s="334">
        <v>16</v>
      </c>
      <c r="F41" s="334">
        <v>97741.326182999997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15</v>
      </c>
      <c r="D48" s="334">
        <v>541265.88370999997</v>
      </c>
      <c r="E48" s="334">
        <v>26</v>
      </c>
      <c r="F48" s="334">
        <v>214896.51016000001</v>
      </c>
    </row>
    <row r="49" spans="1:6">
      <c r="A49" s="348" t="s">
        <v>32</v>
      </c>
      <c r="B49" s="348" t="s">
        <v>40</v>
      </c>
      <c r="C49" s="334">
        <v>0</v>
      </c>
      <c r="D49" s="334">
        <v>0</v>
      </c>
      <c r="E49" s="334">
        <v>0</v>
      </c>
      <c r="F49" s="334">
        <v>0</v>
      </c>
    </row>
    <row r="50" spans="1:6">
      <c r="A50" s="348" t="s">
        <v>32</v>
      </c>
      <c r="B50" s="348" t="s">
        <v>41</v>
      </c>
      <c r="C50" s="334">
        <v>6</v>
      </c>
      <c r="D50" s="334">
        <v>897849.93454000005</v>
      </c>
      <c r="E50" s="334">
        <v>7</v>
      </c>
      <c r="F50" s="334">
        <v>606079.56207999995</v>
      </c>
    </row>
    <row r="51" spans="1:6">
      <c r="A51" s="348" t="s">
        <v>42</v>
      </c>
      <c r="B51" s="348" t="s">
        <v>43</v>
      </c>
      <c r="C51" s="334">
        <v>3</v>
      </c>
      <c r="D51" s="334">
        <v>77711.775783999998</v>
      </c>
      <c r="E51" s="334">
        <v>8</v>
      </c>
      <c r="F51" s="334">
        <v>200720.17627</v>
      </c>
    </row>
    <row r="52" spans="1:6">
      <c r="A52" s="348" t="s">
        <v>42</v>
      </c>
      <c r="B52" s="348" t="s">
        <v>29</v>
      </c>
      <c r="C52" s="334">
        <v>2</v>
      </c>
      <c r="D52" s="334">
        <v>38675.839399999997</v>
      </c>
      <c r="E52" s="334">
        <v>4</v>
      </c>
      <c r="F52" s="334">
        <v>29589.094309</v>
      </c>
    </row>
    <row r="53" spans="1:6">
      <c r="A53" s="348" t="s">
        <v>44</v>
      </c>
      <c r="B53" s="348" t="s">
        <v>45</v>
      </c>
      <c r="C53" s="334">
        <v>72</v>
      </c>
      <c r="D53" s="334">
        <v>1518079.5862</v>
      </c>
      <c r="E53" s="334">
        <v>108</v>
      </c>
      <c r="F53" s="334">
        <v>481452.24369999999</v>
      </c>
    </row>
    <row r="54" spans="1:6">
      <c r="A54" s="348" t="s">
        <v>46</v>
      </c>
      <c r="B54" s="348" t="s">
        <v>47</v>
      </c>
      <c r="C54" s="334">
        <v>0</v>
      </c>
      <c r="D54" s="334">
        <v>0</v>
      </c>
      <c r="E54" s="334">
        <v>1</v>
      </c>
      <c r="F54" s="334">
        <v>617114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394281.55048999999</v>
      </c>
      <c r="E57" s="334">
        <v>30</v>
      </c>
      <c r="F57" s="334">
        <v>392139.49300999998</v>
      </c>
    </row>
    <row r="58" spans="1:6">
      <c r="A58" s="348" t="s">
        <v>49</v>
      </c>
      <c r="B58" s="348" t="s">
        <v>51</v>
      </c>
      <c r="C58" s="334">
        <v>29</v>
      </c>
      <c r="D58" s="334">
        <v>1474951.4704</v>
      </c>
      <c r="E58" s="334">
        <v>42</v>
      </c>
      <c r="F58" s="334">
        <v>658618.08851000003</v>
      </c>
    </row>
    <row r="59" spans="1:6">
      <c r="A59" s="348" t="s">
        <v>49</v>
      </c>
      <c r="B59" s="348" t="s">
        <v>52</v>
      </c>
      <c r="C59" s="334">
        <v>33</v>
      </c>
      <c r="D59" s="334">
        <v>990770.78026999999</v>
      </c>
      <c r="E59" s="334">
        <v>57</v>
      </c>
      <c r="F59" s="334">
        <v>1323929.1821000001</v>
      </c>
    </row>
    <row r="60" spans="1:6">
      <c r="A60" s="348" t="s">
        <v>49</v>
      </c>
      <c r="B60" s="348" t="s">
        <v>53</v>
      </c>
      <c r="C60" s="334">
        <v>16</v>
      </c>
      <c r="D60" s="334">
        <v>764432.92030999996</v>
      </c>
      <c r="E60" s="334">
        <v>17</v>
      </c>
      <c r="F60" s="334">
        <v>505606.47399999999</v>
      </c>
    </row>
    <row r="61" spans="1:6">
      <c r="A61" s="348" t="s">
        <v>49</v>
      </c>
      <c r="B61" s="348" t="s">
        <v>54</v>
      </c>
      <c r="C61" s="334">
        <v>123</v>
      </c>
      <c r="D61" s="334">
        <v>5016118.3202</v>
      </c>
      <c r="E61" s="334">
        <v>193</v>
      </c>
      <c r="F61" s="334">
        <v>2440338.4142999998</v>
      </c>
    </row>
    <row r="62" spans="1:6">
      <c r="A62" s="348" t="s">
        <v>49</v>
      </c>
      <c r="B62" s="348" t="s">
        <v>55</v>
      </c>
      <c r="C62" s="334">
        <v>0</v>
      </c>
      <c r="D62" s="334">
        <v>0</v>
      </c>
      <c r="E62" s="334">
        <v>0</v>
      </c>
      <c r="F62" s="334">
        <v>0</v>
      </c>
    </row>
    <row r="63" spans="1:6">
      <c r="A63" s="348" t="s">
        <v>49</v>
      </c>
      <c r="B63" s="348" t="s">
        <v>29</v>
      </c>
      <c r="C63" s="334">
        <v>80</v>
      </c>
      <c r="D63" s="334">
        <v>3999389.3731</v>
      </c>
      <c r="E63" s="334">
        <v>77</v>
      </c>
      <c r="F63" s="334">
        <v>1991561.3274999999</v>
      </c>
    </row>
    <row r="64" spans="1:6">
      <c r="A64" s="348" t="s">
        <v>56</v>
      </c>
      <c r="B64" s="348" t="s">
        <v>57</v>
      </c>
      <c r="C64" s="334">
        <v>0</v>
      </c>
      <c r="D64" s="334">
        <v>0</v>
      </c>
      <c r="E64" s="334">
        <v>0</v>
      </c>
      <c r="F64" s="334">
        <v>0</v>
      </c>
    </row>
    <row r="65" spans="1:6">
      <c r="A65" s="348" t="s">
        <v>56</v>
      </c>
      <c r="B65" s="348" t="s">
        <v>29</v>
      </c>
      <c r="C65" s="334">
        <v>0</v>
      </c>
      <c r="D65" s="334">
        <v>0</v>
      </c>
      <c r="E65" s="334">
        <v>3</v>
      </c>
      <c r="F65" s="334">
        <v>26478.725867000001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14146809</v>
      </c>
      <c r="E73" s="476">
        <v>12526522.273578998</v>
      </c>
    </row>
    <row r="74" spans="1:6">
      <c r="A74" s="348" t="s">
        <v>64</v>
      </c>
      <c r="B74" s="348" t="s">
        <v>667</v>
      </c>
      <c r="C74" s="1212" t="s">
        <v>669</v>
      </c>
      <c r="D74" s="476">
        <v>427163.13950079272</v>
      </c>
      <c r="E74" s="476">
        <v>396840.64119546337</v>
      </c>
    </row>
    <row r="75" spans="1:6">
      <c r="A75" s="348" t="s">
        <v>65</v>
      </c>
      <c r="B75" s="348" t="s">
        <v>666</v>
      </c>
      <c r="C75" s="1212" t="s">
        <v>670</v>
      </c>
      <c r="D75" s="476">
        <v>3566181</v>
      </c>
      <c r="E75" s="476">
        <v>3176505.2942970293</v>
      </c>
    </row>
    <row r="76" spans="1:6">
      <c r="A76" s="348" t="s">
        <v>65</v>
      </c>
      <c r="B76" s="348" t="s">
        <v>667</v>
      </c>
      <c r="C76" s="1212" t="s">
        <v>671</v>
      </c>
      <c r="D76" s="476">
        <v>5489.1</v>
      </c>
      <c r="E76" s="476">
        <v>5156.2500353388086</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251707.72099841459</v>
      </c>
      <c r="C83" s="476">
        <v>251707.72099841459</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1079.7053887593543</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2061</v>
      </c>
    </row>
    <row r="98" spans="1:6">
      <c r="A98" s="348" t="s">
        <v>72</v>
      </c>
      <c r="B98" s="334">
        <v>1</v>
      </c>
    </row>
    <row r="99" spans="1:6">
      <c r="A99" s="348" t="s">
        <v>73</v>
      </c>
      <c r="B99" s="334">
        <v>4</v>
      </c>
    </row>
    <row r="100" spans="1:6">
      <c r="A100" s="348" t="s">
        <v>74</v>
      </c>
      <c r="B100" s="334">
        <v>226</v>
      </c>
    </row>
    <row r="101" spans="1:6">
      <c r="A101" s="348" t="s">
        <v>75</v>
      </c>
      <c r="B101" s="334">
        <v>12</v>
      </c>
    </row>
    <row r="102" spans="1:6">
      <c r="A102" s="348" t="s">
        <v>76</v>
      </c>
      <c r="B102" s="334">
        <v>31</v>
      </c>
    </row>
    <row r="103" spans="1:6">
      <c r="A103" s="348" t="s">
        <v>77</v>
      </c>
      <c r="B103" s="334">
        <v>25</v>
      </c>
    </row>
    <row r="104" spans="1:6">
      <c r="A104" s="348" t="s">
        <v>78</v>
      </c>
      <c r="B104" s="334">
        <v>568</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64</v>
      </c>
      <c r="C123" s="334">
        <v>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55</v>
      </c>
    </row>
    <row r="130" spans="1:6">
      <c r="A130" s="348" t="s">
        <v>295</v>
      </c>
      <c r="B130" s="334">
        <v>1</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23143.39120899207</v>
      </c>
      <c r="C3" s="43" t="s">
        <v>170</v>
      </c>
      <c r="D3" s="43"/>
      <c r="E3" s="154"/>
      <c r="F3" s="43"/>
      <c r="G3" s="43"/>
      <c r="H3" s="43"/>
      <c r="I3" s="43"/>
      <c r="J3" s="43"/>
      <c r="K3" s="96"/>
    </row>
    <row r="4" spans="1:11">
      <c r="A4" s="383" t="s">
        <v>171</v>
      </c>
      <c r="B4" s="49">
        <f>IF(ISERROR('SEAP template'!B69),0,'SEAP template'!B69)</f>
        <v>1167.0053887593542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0.20985607607861678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124.71428571428569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617.11400000000003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617.11400000000003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0.20985607607861678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129.50512253317953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12937.551394</v>
      </c>
      <c r="C5" s="17">
        <f>IF(ISERROR('Eigen informatie GS &amp; warmtenet'!B57),0,'Eigen informatie GS &amp; warmtenet'!B57)</f>
        <v>0</v>
      </c>
      <c r="D5" s="30">
        <f>(SUM(HH_hh_gas_kWh,HH_rest_gas_kWh)/1000)*0.902</f>
        <v>44978.556772050004</v>
      </c>
      <c r="E5" s="17">
        <f>B46*B57</f>
        <v>177.61584281103708</v>
      </c>
      <c r="F5" s="17">
        <f>B51*B62</f>
        <v>2456.1233525485077</v>
      </c>
      <c r="G5" s="18"/>
      <c r="H5" s="17"/>
      <c r="I5" s="17"/>
      <c r="J5" s="17">
        <f>B50*B61+C50*C61</f>
        <v>0</v>
      </c>
      <c r="K5" s="17"/>
      <c r="L5" s="17"/>
      <c r="M5" s="17"/>
      <c r="N5" s="17">
        <f>B48*B59+C48*C59</f>
        <v>1513.3221275620201</v>
      </c>
      <c r="O5" s="17">
        <f>B69*B70*B71</f>
        <v>95.36333333333333</v>
      </c>
      <c r="P5" s="17">
        <f>B77*B78*B79/1000-B77*B78*B79/1000/B80</f>
        <v>1334.6666666666667</v>
      </c>
    </row>
    <row r="6" spans="1:16">
      <c r="A6" s="16" t="s">
        <v>624</v>
      </c>
      <c r="B6" s="843">
        <f>kWh_PV_kleiner_dan_10kW</f>
        <v>1079.7053887593543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14017.256782759354</v>
      </c>
      <c r="C8" s="21">
        <f>C5</f>
        <v>0</v>
      </c>
      <c r="D8" s="21">
        <f>D5</f>
        <v>44978.556772050004</v>
      </c>
      <c r="E8" s="21">
        <f>E5</f>
        <v>177.61584281103708</v>
      </c>
      <c r="F8" s="21">
        <f>F5</f>
        <v>2456.1233525485077</v>
      </c>
      <c r="G8" s="21"/>
      <c r="H8" s="21"/>
      <c r="I8" s="21"/>
      <c r="J8" s="21">
        <f>J5</f>
        <v>0</v>
      </c>
      <c r="K8" s="21"/>
      <c r="L8" s="21">
        <f>L5</f>
        <v>0</v>
      </c>
      <c r="M8" s="21">
        <f>M5</f>
        <v>0</v>
      </c>
      <c r="N8" s="21">
        <f>N5</f>
        <v>1513.3221275620201</v>
      </c>
      <c r="O8" s="21">
        <f>O5</f>
        <v>95.36333333333333</v>
      </c>
      <c r="P8" s="21">
        <f>P5</f>
        <v>1334.6666666666667</v>
      </c>
    </row>
    <row r="9" spans="1:16">
      <c r="B9" s="19"/>
      <c r="C9" s="19"/>
      <c r="D9" s="258"/>
      <c r="E9" s="19"/>
      <c r="F9" s="19"/>
      <c r="G9" s="19"/>
      <c r="H9" s="19"/>
      <c r="I9" s="19"/>
      <c r="J9" s="19"/>
      <c r="K9" s="19"/>
      <c r="L9" s="19"/>
      <c r="M9" s="19"/>
      <c r="N9" s="19"/>
      <c r="O9" s="19"/>
      <c r="P9" s="19"/>
    </row>
    <row r="10" spans="1:16">
      <c r="A10" s="24" t="s">
        <v>214</v>
      </c>
      <c r="B10" s="25">
        <f ca="1">'EF ele_warmte'!B12</f>
        <v>0.20985607607861678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2941.606505816254</v>
      </c>
      <c r="C12" s="23">
        <f ca="1">C10*C8</f>
        <v>0</v>
      </c>
      <c r="D12" s="23">
        <f>D8*D10</f>
        <v>9085.6684679541013</v>
      </c>
      <c r="E12" s="23">
        <f>E10*E8</f>
        <v>40.31879631810542</v>
      </c>
      <c r="F12" s="23">
        <f>F10*F8</f>
        <v>655.78493513045157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2061</v>
      </c>
      <c r="C18" s="166" t="s">
        <v>111</v>
      </c>
      <c r="D18" s="228"/>
      <c r="E18" s="15"/>
    </row>
    <row r="19" spans="1:7">
      <c r="A19" s="171" t="s">
        <v>72</v>
      </c>
      <c r="B19" s="37">
        <f>aantalw2001_ander</f>
        <v>1</v>
      </c>
      <c r="C19" s="166" t="s">
        <v>111</v>
      </c>
      <c r="D19" s="229"/>
      <c r="E19" s="15"/>
    </row>
    <row r="20" spans="1:7">
      <c r="A20" s="171" t="s">
        <v>73</v>
      </c>
      <c r="B20" s="37">
        <f>aantalw2001_propaan</f>
        <v>4</v>
      </c>
      <c r="C20" s="167">
        <f>IF(ISERROR(B20/SUM($B$20,$B$21,$B$22)*100),0,B20/SUM($B$20,$B$21,$B$22)*100)</f>
        <v>1.6528925619834711</v>
      </c>
      <c r="D20" s="229"/>
      <c r="E20" s="15"/>
    </row>
    <row r="21" spans="1:7">
      <c r="A21" s="171" t="s">
        <v>74</v>
      </c>
      <c r="B21" s="37">
        <f>aantalw2001_elektriciteit</f>
        <v>226</v>
      </c>
      <c r="C21" s="167">
        <f>IF(ISERROR(B21/SUM($B$20,$B$21,$B$22)*100),0,B21/SUM($B$20,$B$21,$B$22)*100)</f>
        <v>93.388429752066116</v>
      </c>
      <c r="D21" s="229"/>
      <c r="E21" s="15"/>
    </row>
    <row r="22" spans="1:7">
      <c r="A22" s="171" t="s">
        <v>75</v>
      </c>
      <c r="B22" s="37">
        <f>aantalw2001_hout</f>
        <v>12</v>
      </c>
      <c r="C22" s="167">
        <f>IF(ISERROR(B22/SUM($B$20,$B$21,$B$22)*100),0,B22/SUM($B$20,$B$21,$B$22)*100)</f>
        <v>4.9586776859504136</v>
      </c>
      <c r="D22" s="229"/>
      <c r="E22" s="15"/>
    </row>
    <row r="23" spans="1:7">
      <c r="A23" s="171" t="s">
        <v>76</v>
      </c>
      <c r="B23" s="37">
        <f>aantalw2001_niet_gespec</f>
        <v>31</v>
      </c>
      <c r="C23" s="166" t="s">
        <v>111</v>
      </c>
      <c r="D23" s="228"/>
      <c r="E23" s="15"/>
    </row>
    <row r="24" spans="1:7">
      <c r="A24" s="171" t="s">
        <v>77</v>
      </c>
      <c r="B24" s="37">
        <f>aantalw2001_steenkool</f>
        <v>25</v>
      </c>
      <c r="C24" s="166" t="s">
        <v>111</v>
      </c>
      <c r="D24" s="229"/>
      <c r="E24" s="15"/>
    </row>
    <row r="25" spans="1:7">
      <c r="A25" s="171" t="s">
        <v>78</v>
      </c>
      <c r="B25" s="37">
        <f>aantalw2001_stookolie</f>
        <v>568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3226</v>
      </c>
      <c r="C28" s="36"/>
      <c r="D28" s="228"/>
    </row>
    <row r="29" spans="1:7" s="15" customFormat="1">
      <c r="A29" s="230" t="s">
        <v>699</v>
      </c>
      <c r="B29" s="37">
        <f>SUM(HH_hh_gas_aantal,HH_rest_gas_aantal)</f>
        <v>2580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2580</v>
      </c>
      <c r="C32" s="167">
        <f>IF(ISERROR(B32/SUM($B$32,$B$34,$B$35,$B$36,$B$38,$B$39)*100),0,B32/SUM($B$32,$B$34,$B$35,$B$36,$B$38,$B$39)*100)</f>
        <v>81.749049429657788</v>
      </c>
      <c r="D32" s="233"/>
      <c r="G32" s="15"/>
    </row>
    <row r="33" spans="1:7">
      <c r="A33" s="171" t="s">
        <v>72</v>
      </c>
      <c r="B33" s="34" t="s">
        <v>111</v>
      </c>
      <c r="C33" s="167"/>
      <c r="D33" s="233"/>
      <c r="G33" s="15"/>
    </row>
    <row r="34" spans="1:7">
      <c r="A34" s="171" t="s">
        <v>73</v>
      </c>
      <c r="B34" s="33">
        <f>IF((($B$28-$B$32-$B$39-$B$77-$B$38)*C20/100)&lt;0,0,($B$28-$B$32-$B$39-$B$77-$B$38)*C20/100)</f>
        <v>7.852892561983472</v>
      </c>
      <c r="C34" s="167">
        <f>IF(ISERROR(B34/SUM($B$32,$B$34,$B$35,$B$36,$B$38,$B$39)*100),0,B34/SUM($B$32,$B$34,$B$35,$B$36,$B$38,$B$39)*100)</f>
        <v>0.24882422566487555</v>
      </c>
      <c r="D34" s="233"/>
      <c r="G34" s="15"/>
    </row>
    <row r="35" spans="1:7">
      <c r="A35" s="171" t="s">
        <v>74</v>
      </c>
      <c r="B35" s="33">
        <f>IF((($B$28-$B$32-$B$39-$B$77-$B$38)*C21/100)&lt;0,0,($B$28-$B$32-$B$39-$B$77-$B$38)*C21/100)</f>
        <v>443.68842975206616</v>
      </c>
      <c r="C35" s="167">
        <f>IF(ISERROR(B35/SUM($B$32,$B$34,$B$35,$B$36,$B$38,$B$39)*100),0,B35/SUM($B$32,$B$34,$B$35,$B$36,$B$38,$B$39)*100)</f>
        <v>14.058568750065467</v>
      </c>
      <c r="D35" s="233"/>
      <c r="G35" s="15"/>
    </row>
    <row r="36" spans="1:7">
      <c r="A36" s="171" t="s">
        <v>75</v>
      </c>
      <c r="B36" s="33">
        <f>IF((($B$28-$B$32-$B$39-$B$77-$B$38)*C22/100)&lt;0,0,($B$28-$B$32-$B$39-$B$77-$B$38)*C22/100)</f>
        <v>23.558677685950414</v>
      </c>
      <c r="C36" s="167">
        <f>IF(ISERROR(B36/SUM($B$32,$B$34,$B$35,$B$36,$B$38,$B$39)*100),0,B36/SUM($B$32,$B$34,$B$35,$B$36,$B$38,$B$39)*100)</f>
        <v>0.74647267699462649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100.89999999999998</v>
      </c>
      <c r="C39" s="167">
        <f>IF(ISERROR(B39/SUM($B$32,$B$34,$B$35,$B$36,$B$38,$B$39)*100),0,B39/SUM($B$32,$B$34,$B$35,$B$36,$B$38,$B$39)*100)</f>
        <v>3.1970849176172362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2580</v>
      </c>
      <c r="C44" s="34" t="s">
        <v>111</v>
      </c>
      <c r="D44" s="174"/>
    </row>
    <row r="45" spans="1:7">
      <c r="A45" s="171" t="s">
        <v>72</v>
      </c>
      <c r="B45" s="33" t="str">
        <f t="shared" si="0"/>
        <v>-</v>
      </c>
      <c r="C45" s="34" t="s">
        <v>111</v>
      </c>
      <c r="D45" s="174"/>
    </row>
    <row r="46" spans="1:7">
      <c r="A46" s="171" t="s">
        <v>73</v>
      </c>
      <c r="B46" s="33">
        <f t="shared" si="0"/>
        <v>7.852892561983472</v>
      </c>
      <c r="C46" s="34" t="s">
        <v>111</v>
      </c>
      <c r="D46" s="174"/>
    </row>
    <row r="47" spans="1:7">
      <c r="A47" s="171" t="s">
        <v>74</v>
      </c>
      <c r="B47" s="33">
        <f t="shared" si="0"/>
        <v>443.68842975206616</v>
      </c>
      <c r="C47" s="34" t="s">
        <v>111</v>
      </c>
      <c r="D47" s="174"/>
    </row>
    <row r="48" spans="1:7">
      <c r="A48" s="171" t="s">
        <v>75</v>
      </c>
      <c r="B48" s="33">
        <f t="shared" si="0"/>
        <v>23.558677685950414</v>
      </c>
      <c r="C48" s="33">
        <f>B48*10</f>
        <v>235.58677685950414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100.89999999999998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7312.1929794199996</v>
      </c>
      <c r="C5" s="17">
        <f>IF(ISERROR('Eigen informatie GS &amp; warmtenet'!B58),0,'Eigen informatie GS &amp; warmtenet'!B58)</f>
        <v>0</v>
      </c>
      <c r="D5" s="30">
        <f>SUM(D6:D12)</f>
        <v>11401.229862122542</v>
      </c>
      <c r="E5" s="17">
        <f>SUM(E6:E12)</f>
        <v>126.20321817633234</v>
      </c>
      <c r="F5" s="17">
        <f>SUM(F6:F12)</f>
        <v>1836.1938446803651</v>
      </c>
      <c r="G5" s="18"/>
      <c r="H5" s="17"/>
      <c r="I5" s="17"/>
      <c r="J5" s="17">
        <f>SUM(J6:J12)</f>
        <v>0</v>
      </c>
      <c r="K5" s="17"/>
      <c r="L5" s="17"/>
      <c r="M5" s="17"/>
      <c r="N5" s="17">
        <f>SUM(N6:N12)</f>
        <v>496.64887086127908</v>
      </c>
      <c r="O5" s="17">
        <f>B38*B39*B40</f>
        <v>1.5633333333333335</v>
      </c>
      <c r="P5" s="17">
        <f>B46*B47*B48/1000-B46*B47*B48/1000/B49</f>
        <v>0</v>
      </c>
      <c r="R5" s="32"/>
    </row>
    <row r="6" spans="1:18">
      <c r="A6" s="32" t="s">
        <v>54</v>
      </c>
      <c r="B6" s="37">
        <f>B26</f>
        <v>2440.3384142999998</v>
      </c>
      <c r="C6" s="33"/>
      <c r="D6" s="37">
        <f>IF(ISERROR(TER_kantoor_gas_kWh/1000),0,TER_kantoor_gas_kWh/1000)*0.902</f>
        <v>4524.5387248204006</v>
      </c>
      <c r="E6" s="33">
        <f>$C$26*'E Balans VL '!I12/100/3.6*1000000</f>
        <v>31.947035904222464</v>
      </c>
      <c r="F6" s="33">
        <f>$C$26*('E Balans VL '!L12+'E Balans VL '!N12)/100/3.6*1000000</f>
        <v>622.26107813132433</v>
      </c>
      <c r="G6" s="34"/>
      <c r="H6" s="33"/>
      <c r="I6" s="33"/>
      <c r="J6" s="33">
        <f>$C$26*('E Balans VL '!D12+'E Balans VL '!E12)/100/3.6*1000000</f>
        <v>0</v>
      </c>
      <c r="K6" s="33"/>
      <c r="L6" s="33"/>
      <c r="M6" s="33"/>
      <c r="N6" s="33">
        <f>$C$26*'E Balans VL '!Y12/100/3.6*1000000</f>
        <v>2.4485561231987734</v>
      </c>
      <c r="O6" s="33"/>
      <c r="P6" s="33"/>
      <c r="R6" s="32"/>
    </row>
    <row r="7" spans="1:18">
      <c r="A7" s="32" t="s">
        <v>53</v>
      </c>
      <c r="B7" s="37">
        <f t="shared" ref="B7:B12" si="0">B27</f>
        <v>505.60647399999999</v>
      </c>
      <c r="C7" s="33"/>
      <c r="D7" s="37">
        <f>IF(ISERROR(TER_horeca_gas_kWh/1000),0,TER_horeca_gas_kWh/1000)*0.902</f>
        <v>689.51849411961996</v>
      </c>
      <c r="E7" s="33">
        <f>$C$27*'E Balans VL '!I9/100/3.6*1000000</f>
        <v>16.732498788389229</v>
      </c>
      <c r="F7" s="33">
        <f>$C$27*('E Balans VL '!L9+'E Balans VL '!N9)/100/3.6*1000000</f>
        <v>217.40884610127915</v>
      </c>
      <c r="G7" s="34"/>
      <c r="H7" s="33"/>
      <c r="I7" s="33"/>
      <c r="J7" s="33">
        <f>$C$27*('E Balans VL '!D9+'E Balans VL '!E9)/100/3.6*1000000</f>
        <v>0</v>
      </c>
      <c r="K7" s="33"/>
      <c r="L7" s="33"/>
      <c r="M7" s="33"/>
      <c r="N7" s="33">
        <f>$C$27*'E Balans VL '!Y9/100/3.6*1000000</f>
        <v>0.12170682050354324</v>
      </c>
      <c r="O7" s="33"/>
      <c r="P7" s="33"/>
      <c r="R7" s="32"/>
    </row>
    <row r="8" spans="1:18">
      <c r="A8" s="6" t="s">
        <v>52</v>
      </c>
      <c r="B8" s="37">
        <f t="shared" si="0"/>
        <v>1323.9291821000002</v>
      </c>
      <c r="C8" s="33"/>
      <c r="D8" s="37">
        <f>IF(ISERROR(TER_handel_gas_kWh/1000),0,TER_handel_gas_kWh/1000)*0.902</f>
        <v>893.67524380353996</v>
      </c>
      <c r="E8" s="33">
        <f>$C$28*'E Balans VL '!I13/100/3.6*1000000</f>
        <v>41.785227890651321</v>
      </c>
      <c r="F8" s="33">
        <f>$C$28*('E Balans VL '!L13+'E Balans VL '!N13)/100/3.6*1000000</f>
        <v>259.64582555531081</v>
      </c>
      <c r="G8" s="34"/>
      <c r="H8" s="33"/>
      <c r="I8" s="33"/>
      <c r="J8" s="33">
        <f>$C$28*('E Balans VL '!D13+'E Balans VL '!E13)/100/3.6*1000000</f>
        <v>0</v>
      </c>
      <c r="K8" s="33"/>
      <c r="L8" s="33"/>
      <c r="M8" s="33"/>
      <c r="N8" s="33">
        <f>$C$28*'E Balans VL '!Y13/100/3.6*1000000</f>
        <v>1.5712469014575099</v>
      </c>
      <c r="O8" s="33"/>
      <c r="P8" s="33"/>
      <c r="R8" s="32"/>
    </row>
    <row r="9" spans="1:18">
      <c r="A9" s="32" t="s">
        <v>51</v>
      </c>
      <c r="B9" s="37">
        <f t="shared" si="0"/>
        <v>658.61808851000001</v>
      </c>
      <c r="C9" s="33"/>
      <c r="D9" s="37">
        <f>IF(ISERROR(TER_gezond_gas_kWh/1000),0,TER_gezond_gas_kWh/1000)*0.902</f>
        <v>1330.4062263008002</v>
      </c>
      <c r="E9" s="33">
        <f>$C$29*'E Balans VL '!I10/100/3.6*1000000</f>
        <v>8.4322382773950863E-2</v>
      </c>
      <c r="F9" s="33">
        <f>$C$29*('E Balans VL '!L10+'E Balans VL '!N10)/100/3.6*1000000</f>
        <v>137.21775305055763</v>
      </c>
      <c r="G9" s="34"/>
      <c r="H9" s="33"/>
      <c r="I9" s="33"/>
      <c r="J9" s="33">
        <f>$C$29*('E Balans VL '!D10+'E Balans VL '!E10)/100/3.6*1000000</f>
        <v>0</v>
      </c>
      <c r="K9" s="33"/>
      <c r="L9" s="33"/>
      <c r="M9" s="33"/>
      <c r="N9" s="33">
        <f>$C$29*'E Balans VL '!Y10/100/3.6*1000000</f>
        <v>7.7357807533843932</v>
      </c>
      <c r="O9" s="33"/>
      <c r="P9" s="33"/>
      <c r="R9" s="32"/>
    </row>
    <row r="10" spans="1:18">
      <c r="A10" s="32" t="s">
        <v>50</v>
      </c>
      <c r="B10" s="37">
        <f t="shared" si="0"/>
        <v>392.13949300999997</v>
      </c>
      <c r="C10" s="33"/>
      <c r="D10" s="37">
        <f>IF(ISERROR(TER_ander_gas_kWh/1000),0,TER_ander_gas_kWh/1000)*0.902</f>
        <v>355.64195854197999</v>
      </c>
      <c r="E10" s="33">
        <f>$C$30*'E Balans VL '!I14/100/3.6*1000000</f>
        <v>0.58968557977261926</v>
      </c>
      <c r="F10" s="33">
        <f>$C$30*('E Balans VL '!L14+'E Balans VL '!N14)/100/3.6*1000000</f>
        <v>86.571759598087908</v>
      </c>
      <c r="G10" s="34"/>
      <c r="H10" s="33"/>
      <c r="I10" s="33"/>
      <c r="J10" s="33">
        <f>$C$30*('E Balans VL '!D14+'E Balans VL '!E14)/100/3.6*1000000</f>
        <v>0</v>
      </c>
      <c r="K10" s="33"/>
      <c r="L10" s="33"/>
      <c r="M10" s="33"/>
      <c r="N10" s="33">
        <f>$C$30*'E Balans VL '!Y14/100/3.6*1000000</f>
        <v>309.03231048475772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1991.5613274999998</v>
      </c>
      <c r="C12" s="33"/>
      <c r="D12" s="37">
        <f>IF(ISERROR(TER_rest_gas_kWh/1000),0,TER_rest_gas_kWh/1000)*0.902</f>
        <v>3607.4492145362001</v>
      </c>
      <c r="E12" s="33">
        <f>$C$32*'E Balans VL '!I8/100/3.6*1000000</f>
        <v>35.064447630522757</v>
      </c>
      <c r="F12" s="33">
        <f>$C$32*('E Balans VL '!L8+'E Balans VL '!N8)/100/3.6*1000000</f>
        <v>513.08858224380526</v>
      </c>
      <c r="G12" s="34"/>
      <c r="H12" s="33"/>
      <c r="I12" s="33"/>
      <c r="J12" s="33">
        <f>$C$32*('E Balans VL '!D8+'E Balans VL '!E8)/100/3.6*1000000</f>
        <v>0</v>
      </c>
      <c r="K12" s="33"/>
      <c r="L12" s="33"/>
      <c r="M12" s="33"/>
      <c r="N12" s="33">
        <f>$C$32*'E Balans VL '!Y8/100/3.6*1000000</f>
        <v>175.73926977797714</v>
      </c>
      <c r="O12" s="33"/>
      <c r="P12" s="33"/>
      <c r="R12" s="32"/>
    </row>
    <row r="13" spans="1:18">
      <c r="A13" s="16" t="s">
        <v>491</v>
      </c>
      <c r="B13" s="247">
        <f ca="1">'lokale energieproductie'!N90+'lokale energieproductie'!N59</f>
        <v>43.649999999999991</v>
      </c>
      <c r="C13" s="247">
        <f ca="1">'lokale energieproductie'!O90+'lokale energieproductie'!O59</f>
        <v>62.357142857142847</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-124.71428571428569</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7355.8429794199992</v>
      </c>
      <c r="C16" s="21">
        <f t="shared" ca="1" si="1"/>
        <v>62.357142857142847</v>
      </c>
      <c r="D16" s="21">
        <f t="shared" ca="1" si="1"/>
        <v>11401.229862122542</v>
      </c>
      <c r="E16" s="21">
        <f t="shared" si="1"/>
        <v>126.20321817633234</v>
      </c>
      <c r="F16" s="21">
        <f t="shared" ca="1" si="1"/>
        <v>1836.1938446803651</v>
      </c>
      <c r="G16" s="21">
        <f t="shared" si="1"/>
        <v>0</v>
      </c>
      <c r="H16" s="21">
        <f t="shared" si="1"/>
        <v>0</v>
      </c>
      <c r="I16" s="21">
        <f t="shared" si="1"/>
        <v>0</v>
      </c>
      <c r="J16" s="21">
        <f t="shared" si="1"/>
        <v>0</v>
      </c>
      <c r="K16" s="21">
        <f t="shared" si="1"/>
        <v>0</v>
      </c>
      <c r="L16" s="21">
        <f t="shared" ca="1" si="1"/>
        <v>0</v>
      </c>
      <c r="M16" s="21">
        <f t="shared" si="1"/>
        <v>0</v>
      </c>
      <c r="N16" s="21">
        <f t="shared" ca="1" si="1"/>
        <v>371.93458514699341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0.20985607607861678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1543.6683439115225</v>
      </c>
      <c r="C20" s="23">
        <f t="shared" ref="C20:P20" ca="1" si="2">C16*C18</f>
        <v>0</v>
      </c>
      <c r="D20" s="23">
        <f t="shared" ca="1" si="2"/>
        <v>2303.0484321487538</v>
      </c>
      <c r="E20" s="23">
        <f t="shared" si="2"/>
        <v>28.648130526027444</v>
      </c>
      <c r="F20" s="23">
        <f t="shared" ca="1" si="2"/>
        <v>490.26375652965754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2440.3384142999998</v>
      </c>
      <c r="C26" s="39">
        <f>IF(ISERROR(B26*3.6/1000000/'E Balans VL '!Z12*100),0,B26*3.6/1000000/'E Balans VL '!Z12*100)</f>
        <v>5.2273944659397525E-2</v>
      </c>
      <c r="D26" s="237" t="s">
        <v>660</v>
      </c>
      <c r="F26" s="6"/>
    </row>
    <row r="27" spans="1:18">
      <c r="A27" s="231" t="s">
        <v>53</v>
      </c>
      <c r="B27" s="33">
        <f>IF(ISERROR(TER_horeca_ele_kWh/1000),0,TER_horeca_ele_kWh/1000)</f>
        <v>505.60647399999999</v>
      </c>
      <c r="C27" s="39">
        <f>IF(ISERROR(B27*3.6/1000000/'E Balans VL '!Z9*100),0,B27*3.6/1000000/'E Balans VL '!Z9*100)</f>
        <v>4.057316206833516E-2</v>
      </c>
      <c r="D27" s="237" t="s">
        <v>660</v>
      </c>
      <c r="F27" s="6"/>
    </row>
    <row r="28" spans="1:18">
      <c r="A28" s="171" t="s">
        <v>52</v>
      </c>
      <c r="B28" s="33">
        <f>IF(ISERROR(TER_handel_ele_kWh/1000),0,TER_handel_ele_kWh/1000)</f>
        <v>1323.9291821000002</v>
      </c>
      <c r="C28" s="39">
        <f>IF(ISERROR(B28*3.6/1000000/'E Balans VL '!Z13*100),0,B28*3.6/1000000/'E Balans VL '!Z13*100)</f>
        <v>3.9048317117051756E-2</v>
      </c>
      <c r="D28" s="237" t="s">
        <v>660</v>
      </c>
      <c r="F28" s="6"/>
    </row>
    <row r="29" spans="1:18">
      <c r="A29" s="231" t="s">
        <v>51</v>
      </c>
      <c r="B29" s="33">
        <f>IF(ISERROR(TER_gezond_ele_kWh/1000),0,TER_gezond_ele_kWh/1000)</f>
        <v>658.61808851000001</v>
      </c>
      <c r="C29" s="39">
        <f>IF(ISERROR(B29*3.6/1000000/'E Balans VL '!Z10*100),0,B29*3.6/1000000/'E Balans VL '!Z10*100)</f>
        <v>7.0322753639737501E-2</v>
      </c>
      <c r="D29" s="237" t="s">
        <v>660</v>
      </c>
      <c r="F29" s="6"/>
    </row>
    <row r="30" spans="1:18">
      <c r="A30" s="231" t="s">
        <v>50</v>
      </c>
      <c r="B30" s="33">
        <f>IF(ISERROR(TER_ander_ele_kWh/1000),0,TER_ander_ele_kWh/1000)</f>
        <v>392.13949300999997</v>
      </c>
      <c r="C30" s="39">
        <f>IF(ISERROR(B30*3.6/1000000/'E Balans VL '!Z14*100),0,B30*3.6/1000000/'E Balans VL '!Z14*100)</f>
        <v>2.9619835776721122E-2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1991.5613274999998</v>
      </c>
      <c r="C32" s="39">
        <f>IF(ISERROR(B32*3.6/1000000/'E Balans VL '!Z8*100),0,B32*3.6/1000000/'E Balans VL '!Z8*100)</f>
        <v>1.6512816634117133E-2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918.71739842299985</v>
      </c>
      <c r="C5" s="17">
        <f>IF(ISERROR('Eigen informatie GS &amp; warmtenet'!B59),0,'Eigen informatie GS &amp; warmtenet'!B59)</f>
        <v>0</v>
      </c>
      <c r="D5" s="30">
        <f>SUM(D6:D15)</f>
        <v>1482.9247010450399</v>
      </c>
      <c r="E5" s="17">
        <f>SUM(E6:E15)</f>
        <v>52.011804315491823</v>
      </c>
      <c r="F5" s="17">
        <f>SUM(F6:F15)</f>
        <v>268.13214496658946</v>
      </c>
      <c r="G5" s="18"/>
      <c r="H5" s="17"/>
      <c r="I5" s="17"/>
      <c r="J5" s="17">
        <f>SUM(J6:J15)</f>
        <v>1.7421908393853942</v>
      </c>
      <c r="K5" s="17"/>
      <c r="L5" s="17"/>
      <c r="M5" s="17"/>
      <c r="N5" s="17">
        <f>SUM(N6:N15)</f>
        <v>301.13653859056694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97.741326182999998</v>
      </c>
      <c r="C9" s="33"/>
      <c r="D9" s="37">
        <f>IF( ISERROR(IND_andere_gas_kWh/1000),0,IND_andere_gas_kWh/1000)*0.902</f>
        <v>184.84223298354001</v>
      </c>
      <c r="E9" s="33">
        <f>C31*'E Balans VL '!I19/100/3.6*1000000</f>
        <v>24.941374982456033</v>
      </c>
      <c r="F9" s="33">
        <f>C31*'E Balans VL '!L19/100/3.6*1000000+C31*'E Balans VL '!N19/100/3.6*1000000</f>
        <v>84.147935319878783</v>
      </c>
      <c r="G9" s="34"/>
      <c r="H9" s="33"/>
      <c r="I9" s="33"/>
      <c r="J9" s="40">
        <f>C31*'E Balans VL '!D19/100/3.6*1000000+C31*'E Balans VL '!E19/100/3.6*1000000</f>
        <v>0</v>
      </c>
      <c r="K9" s="33"/>
      <c r="L9" s="33"/>
      <c r="M9" s="33"/>
      <c r="N9" s="33">
        <f>C31*'E Balans VL '!Y19/100/3.6*1000000</f>
        <v>30.567059988258901</v>
      </c>
      <c r="O9" s="33"/>
      <c r="P9" s="33"/>
      <c r="R9" s="32"/>
    </row>
    <row r="10" spans="1:18">
      <c r="A10" s="6" t="s">
        <v>41</v>
      </c>
      <c r="B10" s="37">
        <f t="shared" si="0"/>
        <v>606.07956207999996</v>
      </c>
      <c r="C10" s="33"/>
      <c r="D10" s="37">
        <f>IF( ISERROR(IND_voed_gas_kWh/1000),0,IND_voed_gas_kWh/1000)*0.902</f>
        <v>809.86064095508004</v>
      </c>
      <c r="E10" s="33">
        <f>C32*'E Balans VL '!I20/100/3.6*1000000</f>
        <v>15.407374683510987</v>
      </c>
      <c r="F10" s="33">
        <f>C32*'E Balans VL '!L20/100/3.6*1000000+C32*'E Balans VL '!N20/100/3.6*1000000</f>
        <v>137.14670685986181</v>
      </c>
      <c r="G10" s="34"/>
      <c r="H10" s="33"/>
      <c r="I10" s="33"/>
      <c r="J10" s="40">
        <f>C32*'E Balans VL '!D20/100/3.6*1000000+C32*'E Balans VL '!E20/100/3.6*1000000</f>
        <v>0</v>
      </c>
      <c r="K10" s="33"/>
      <c r="L10" s="33"/>
      <c r="M10" s="33"/>
      <c r="N10" s="33">
        <f>C32*'E Balans VL '!Y20/100/3.6*1000000</f>
        <v>227.29626421272053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214.89651015999999</v>
      </c>
      <c r="C15" s="33"/>
      <c r="D15" s="37">
        <f>IF( ISERROR(IND_rest_gas_kWh/1000),0,IND_rest_gas_kWh/1000)*0.902</f>
        <v>488.22182710641994</v>
      </c>
      <c r="E15" s="33">
        <f>C37*'E Balans VL '!I15/100/3.6*1000000</f>
        <v>11.663054649524801</v>
      </c>
      <c r="F15" s="33">
        <f>C37*'E Balans VL '!L15/100/3.6*1000000+C37*'E Balans VL '!N15/100/3.6*1000000</f>
        <v>46.837502786848859</v>
      </c>
      <c r="G15" s="34"/>
      <c r="H15" s="33"/>
      <c r="I15" s="33"/>
      <c r="J15" s="40">
        <f>C37*'E Balans VL '!D15/100/3.6*1000000+C37*'E Balans VL '!E15/100/3.6*1000000</f>
        <v>1.7421908393853942</v>
      </c>
      <c r="K15" s="33"/>
      <c r="L15" s="33"/>
      <c r="M15" s="33"/>
      <c r="N15" s="33">
        <f>C37*'E Balans VL '!Y15/100/3.6*1000000</f>
        <v>43.273214389587501</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918.71739842299985</v>
      </c>
      <c r="C18" s="21">
        <f>C5+C16</f>
        <v>0</v>
      </c>
      <c r="D18" s="21">
        <f>MAX((D5+D16),0)</f>
        <v>1482.9247010450399</v>
      </c>
      <c r="E18" s="21">
        <f>MAX((E5+E16),0)</f>
        <v>52.011804315491823</v>
      </c>
      <c r="F18" s="21">
        <f>MAX((F5+F16),0)</f>
        <v>268.13214496658946</v>
      </c>
      <c r="G18" s="21"/>
      <c r="H18" s="21"/>
      <c r="I18" s="21"/>
      <c r="J18" s="21">
        <f>MAX((J5+J16),0)</f>
        <v>1.7421908393853942</v>
      </c>
      <c r="K18" s="21"/>
      <c r="L18" s="21">
        <f>MAX((L5+L16),0)</f>
        <v>0</v>
      </c>
      <c r="M18" s="21"/>
      <c r="N18" s="21">
        <f>MAX((N5+N16),0)</f>
        <v>301.13653859056694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0.20985607607861678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192.79842825820594</v>
      </c>
      <c r="C22" s="23">
        <f ca="1">C18*C20</f>
        <v>0</v>
      </c>
      <c r="D22" s="23">
        <f>D18*D20</f>
        <v>299.55078961109808</v>
      </c>
      <c r="E22" s="23">
        <f>E18*E20</f>
        <v>11.806679579616643</v>
      </c>
      <c r="F22" s="23">
        <f>F18*F20</f>
        <v>71.591282706079397</v>
      </c>
      <c r="G22" s="23"/>
      <c r="H22" s="23"/>
      <c r="I22" s="23"/>
      <c r="J22" s="23">
        <f>J18*J20</f>
        <v>0.61673555714242956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97.741326182999998</v>
      </c>
      <c r="C31" s="39">
        <f>IF(ISERROR(B31*3.6/1000000/'E Balans VL '!Z19*100),0,B31*3.6/1000000/'E Balans VL '!Z19*100)</f>
        <v>4.1141543568641997E-3</v>
      </c>
      <c r="D31" s="237" t="s">
        <v>660</v>
      </c>
    </row>
    <row r="32" spans="1:18">
      <c r="A32" s="171" t="s">
        <v>41</v>
      </c>
      <c r="B32" s="37">
        <f>IF( ISERROR(IND_voed_ele_kWh/1000),0,IND_voed_ele_kWh/1000)</f>
        <v>606.07956207999996</v>
      </c>
      <c r="C32" s="39">
        <f>IF(ISERROR(B32*3.6/1000000/'E Balans VL '!Z20*100),0,B32*3.6/1000000/'E Balans VL '!Z20*100)</f>
        <v>0.10125244816408538</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214.89651015999999</v>
      </c>
      <c r="C37" s="39">
        <f>IF(ISERROR(B37*3.6/1000000/'E Balans VL '!Z15*100),0,B37*3.6/1000000/'E Balans VL '!Z15*100)</f>
        <v>1.7349427382643199E-3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230.30927057900001</v>
      </c>
      <c r="C5" s="17">
        <f>'Eigen informatie GS &amp; warmtenet'!B60</f>
        <v>0</v>
      </c>
      <c r="D5" s="30">
        <f>IF(ISERROR(SUM(LB_lb_gas_kWh,LB_rest_gas_kWh,onbekend_gas_kWh)/1000),0,SUM(LB_lb_gas_kWh,LB_rest_gas_kWh,onbekend_gas_kWh)/1000)*0.902</f>
        <v>1474.289415648368</v>
      </c>
      <c r="E5" s="17">
        <f>B17*'E Balans VL '!I25/3.6*1000000/100</f>
        <v>5.9387918028698232</v>
      </c>
      <c r="F5" s="17">
        <f>B17*('E Balans VL '!L25/3.6*1000000+'E Balans VL '!N25/3.6*1000000)/100</f>
        <v>841.82424423622024</v>
      </c>
      <c r="G5" s="18"/>
      <c r="H5" s="17"/>
      <c r="I5" s="17"/>
      <c r="J5" s="17">
        <f>('E Balans VL '!D25+'E Balans VL '!E25)/3.6*1000000*landbouw!B17/100</f>
        <v>33.156062655218221</v>
      </c>
      <c r="K5" s="17"/>
      <c r="L5" s="17">
        <f>L6*(-1)</f>
        <v>0</v>
      </c>
      <c r="M5" s="17"/>
      <c r="N5" s="17">
        <f>N6*(-1)</f>
        <v>124.71428571428569</v>
      </c>
      <c r="O5" s="17"/>
      <c r="P5" s="17"/>
      <c r="R5" s="32"/>
    </row>
    <row r="6" spans="1:18">
      <c r="A6" s="16" t="s">
        <v>491</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230.30927057900001</v>
      </c>
      <c r="C8" s="21">
        <f>C5+C6</f>
        <v>62.357142857142847</v>
      </c>
      <c r="D8" s="21">
        <f>MAX((D5+D6),0)</f>
        <v>1474.289415648368</v>
      </c>
      <c r="E8" s="21">
        <f>MAX((E5+E6),0)</f>
        <v>5.9387918028698232</v>
      </c>
      <c r="F8" s="21">
        <f>MAX((F5+F6),0)</f>
        <v>841.82424423622024</v>
      </c>
      <c r="G8" s="21"/>
      <c r="H8" s="21"/>
      <c r="I8" s="21"/>
      <c r="J8" s="21">
        <f>MAX((J5+J6),0)</f>
        <v>33.156062655218221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0.20985607607861678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48.331799808237363</v>
      </c>
      <c r="C12" s="23">
        <f ca="1">C8*C10</f>
        <v>0</v>
      </c>
      <c r="D12" s="23">
        <f>D8*D10</f>
        <v>297.80646196097035</v>
      </c>
      <c r="E12" s="23">
        <f>E8*E10</f>
        <v>1.3481057392514499</v>
      </c>
      <c r="F12" s="23">
        <f>F8*F10</f>
        <v>224.76707321107082</v>
      </c>
      <c r="G12" s="23"/>
      <c r="H12" s="23"/>
      <c r="I12" s="23"/>
      <c r="J12" s="23">
        <f>J8*J10</f>
        <v>11.737246179947249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3.247513268604045E-2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99.784657720952097</v>
      </c>
      <c r="C26" s="247">
        <f>B26*'GWP N2O_CH4'!B5</f>
        <v>2095.4778121399941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20.342545561262625</v>
      </c>
      <c r="C27" s="247">
        <f>B27*'GWP N2O_CH4'!B5</f>
        <v>427.19345678651513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0.99589498396092135</v>
      </c>
      <c r="C28" s="247">
        <f>B28*'GWP N2O_CH4'!B4</f>
        <v>308.72744502788561</v>
      </c>
      <c r="D28" s="50"/>
    </row>
    <row r="29" spans="1:4">
      <c r="A29" s="41" t="s">
        <v>277</v>
      </c>
      <c r="B29" s="247">
        <f>B34*'ha_N2O bodem landbouw'!B4</f>
        <v>0.99061762527885033</v>
      </c>
      <c r="C29" s="247">
        <f>B29*'GWP N2O_CH4'!B4</f>
        <v>307.09146383644361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2.2294279741543138E-4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1.4942800118590783E-5</v>
      </c>
      <c r="C5" s="463" t="s">
        <v>211</v>
      </c>
      <c r="D5" s="448">
        <f>SUM(D6:D11)</f>
        <v>3.4298349115261645E-5</v>
      </c>
      <c r="E5" s="448">
        <f>SUM(E6:E11)</f>
        <v>1.3184487653344451E-4</v>
      </c>
      <c r="F5" s="461" t="s">
        <v>211</v>
      </c>
      <c r="G5" s="448">
        <f>SUM(G6:G11)</f>
        <v>3.490223034107183E-2</v>
      </c>
      <c r="H5" s="448">
        <f>SUM(H6:H11)</f>
        <v>9.1999806017187408E-3</v>
      </c>
      <c r="I5" s="463" t="s">
        <v>211</v>
      </c>
      <c r="J5" s="463" t="s">
        <v>211</v>
      </c>
      <c r="K5" s="463" t="s">
        <v>211</v>
      </c>
      <c r="L5" s="463" t="s">
        <v>211</v>
      </c>
      <c r="M5" s="448">
        <f>SUM(M6:M11)</f>
        <v>1.3753147988972998E-3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1.1934345313969079E-5</v>
      </c>
      <c r="C6" s="449"/>
      <c r="D6" s="962">
        <f>vkm_2011_GW_PW*SUMIFS(TableVerdeelsleutelVkm[CNG],TableVerdeelsleutelVkm[Voertuigtype],"Lichte voertuigen")*SUMIFS(TableECFTransport[EnergieConsumptieFactor (PJ per km)],TableECFTransport[Index],CONCATENATE($A6,"_CNG_CNG"))</f>
        <v>2.3713753187227524E-5</v>
      </c>
      <c r="E6" s="962">
        <f>vkm_2011_GW_PW*SUMIFS(TableVerdeelsleutelVkm[LPG],TableVerdeelsleutelVkm[Voertuigtype],"Lichte voertuigen")*SUMIFS(TableECFTransport[EnergieConsumptieFactor (PJ per km)],TableECFTransport[Index],CONCATENATE($A6,"_LPG_LPG"))</f>
        <v>9.3322119535004249E-5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2.2188797956784714E-2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6.420026400275081E-3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8.9147738474065178E-4</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4.0931616462771547E-3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1.3222660450393546E-6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1.2896926062552452E-4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3.008454804621704E-6</v>
      </c>
      <c r="C8" s="449"/>
      <c r="D8" s="451">
        <f>vkm_2011_NGW_PW*SUMIFS(TableVerdeelsleutelVkm[CNG],TableVerdeelsleutelVkm[Voertuigtype],"Lichte voertuigen")*SUMIFS(TableECFTransport[EnergieConsumptieFactor (PJ per km)],TableECFTransport[Index],CONCATENATE($A8,"_CNG_CNG"))</f>
        <v>1.058459592803412E-5</v>
      </c>
      <c r="E8" s="451">
        <f>vkm_2011_NGW_PW*SUMIFS(TableVerdeelsleutelVkm[LPG],TableVerdeelsleutelVkm[Voertuigtype],"Lichte voertuigen")*SUMIFS(TableECFTransport[EnergieConsumptieFactor (PJ per km)],TableECFTransport[Index],CONCATENATE($A8,"_LPG_LPG"))</f>
        <v>3.8522756998440266E-5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8.5531349677794299E-3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2.7786114248515639E-3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3.5275284344125018E-4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6.7135770230525614E-5</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2.0510547056694253E-8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2.1153100898732096E-6</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4.1507778107196618</v>
      </c>
      <c r="C14" s="21"/>
      <c r="D14" s="21">
        <f t="shared" ref="D14:M14" si="0">((D5)*10^9/3600)+D12</f>
        <v>9.5273191986837915</v>
      </c>
      <c r="E14" s="21">
        <f t="shared" si="0"/>
        <v>36.623576814845698</v>
      </c>
      <c r="F14" s="21"/>
      <c r="G14" s="21">
        <f t="shared" si="0"/>
        <v>9695.0639836310638</v>
      </c>
      <c r="H14" s="21">
        <f t="shared" si="0"/>
        <v>2555.5501671440948</v>
      </c>
      <c r="I14" s="21"/>
      <c r="J14" s="21"/>
      <c r="K14" s="21"/>
      <c r="L14" s="21"/>
      <c r="M14" s="21">
        <f t="shared" si="0"/>
        <v>382.03188858258324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0.20985607607861678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0.87106594403181981</v>
      </c>
      <c r="C18" s="23"/>
      <c r="D18" s="23">
        <f t="shared" ref="D18:M18" si="1">D14*D16</f>
        <v>1.924518478134126</v>
      </c>
      <c r="E18" s="23">
        <f t="shared" si="1"/>
        <v>8.313551936969974</v>
      </c>
      <c r="F18" s="23"/>
      <c r="G18" s="23">
        <f t="shared" si="1"/>
        <v>2588.5820836294943</v>
      </c>
      <c r="H18" s="23">
        <f t="shared" si="1"/>
        <v>636.33199161887956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3.2722684572675837E-3</v>
      </c>
      <c r="H50" s="321">
        <f t="shared" si="2"/>
        <v>0</v>
      </c>
      <c r="I50" s="321">
        <f t="shared" si="2"/>
        <v>0</v>
      </c>
      <c r="J50" s="321">
        <f t="shared" si="2"/>
        <v>0</v>
      </c>
      <c r="K50" s="321">
        <f t="shared" si="2"/>
        <v>0</v>
      </c>
      <c r="L50" s="321">
        <f t="shared" si="2"/>
        <v>0</v>
      </c>
      <c r="M50" s="321">
        <f t="shared" si="2"/>
        <v>1.0149844688406028E-4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3.2722684572675837E-3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1.0149844688406028E-4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908.96346035210661</v>
      </c>
      <c r="H54" s="21">
        <f t="shared" si="3"/>
        <v>0</v>
      </c>
      <c r="I54" s="21">
        <f t="shared" si="3"/>
        <v>0</v>
      </c>
      <c r="J54" s="21">
        <f t="shared" si="3"/>
        <v>0</v>
      </c>
      <c r="K54" s="21">
        <f t="shared" si="3"/>
        <v>0</v>
      </c>
      <c r="L54" s="21">
        <f t="shared" si="3"/>
        <v>0</v>
      </c>
      <c r="M54" s="21">
        <f t="shared" si="3"/>
        <v>28.194013023350077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0.20985607607861678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242.69324391401247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1079.7053887593543</v>
      </c>
      <c r="C6" s="1203"/>
      <c r="D6" s="1188"/>
      <c r="E6" s="1188"/>
      <c r="F6" s="1206"/>
      <c r="G6" s="1209"/>
      <c r="H6" s="1200"/>
      <c r="I6" s="1188"/>
      <c r="J6" s="1188"/>
      <c r="K6" s="1188"/>
      <c r="L6" s="1192"/>
      <c r="M6" s="575"/>
      <c r="N6" s="1166"/>
      <c r="O6" s="1167"/>
      <c r="Q6" s="573"/>
      <c r="R6" s="1154"/>
      <c r="S6" s="1154"/>
    </row>
    <row r="7" spans="1:19" s="563" customFormat="1">
      <c r="A7" s="576" t="s">
        <v>252</v>
      </c>
      <c r="B7" s="577">
        <f>N57</f>
        <v>87.299999999999983</v>
      </c>
      <c r="C7" s="578">
        <f>B100</f>
        <v>0</v>
      </c>
      <c r="D7" s="579"/>
      <c r="E7" s="579">
        <f>E100</f>
        <v>0</v>
      </c>
      <c r="F7" s="580"/>
      <c r="G7" s="581"/>
      <c r="H7" s="579">
        <f>I100</f>
        <v>0</v>
      </c>
      <c r="I7" s="579">
        <f>G100+F100</f>
        <v>0</v>
      </c>
      <c r="J7" s="579">
        <f>H100+D100+C100</f>
        <v>102.70588235294116</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1167.0053887593542</v>
      </c>
      <c r="C9" s="594">
        <f t="shared" ref="C9:L9" si="0">SUM(C7:C8)</f>
        <v>0</v>
      </c>
      <c r="D9" s="594">
        <f t="shared" si="0"/>
        <v>0</v>
      </c>
      <c r="E9" s="594">
        <f t="shared" si="0"/>
        <v>0</v>
      </c>
      <c r="F9" s="594">
        <f t="shared" si="0"/>
        <v>0</v>
      </c>
      <c r="G9" s="594">
        <f t="shared" si="0"/>
        <v>0</v>
      </c>
      <c r="H9" s="594">
        <f t="shared" si="0"/>
        <v>0</v>
      </c>
      <c r="I9" s="594">
        <f t="shared" si="0"/>
        <v>0</v>
      </c>
      <c r="J9" s="594">
        <f t="shared" si="0"/>
        <v>102.70588235294116</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124.71428571428569</v>
      </c>
      <c r="C16" s="610">
        <f>B101</f>
        <v>0</v>
      </c>
      <c r="D16" s="611"/>
      <c r="E16" s="611">
        <f>E101</f>
        <v>0</v>
      </c>
      <c r="F16" s="612"/>
      <c r="G16" s="613"/>
      <c r="H16" s="610">
        <f>I101</f>
        <v>0</v>
      </c>
      <c r="I16" s="611">
        <f>G101+F101</f>
        <v>0</v>
      </c>
      <c r="J16" s="611">
        <f>H101+D101+C101</f>
        <v>146.72268907563023</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124.71428571428569</v>
      </c>
      <c r="C19" s="593">
        <f>SUM(C16:C18)</f>
        <v>0</v>
      </c>
      <c r="D19" s="593">
        <f t="shared" ref="D19:M19" si="1">SUM(D16:D18)</f>
        <v>0</v>
      </c>
      <c r="E19" s="593">
        <f t="shared" si="1"/>
        <v>0</v>
      </c>
      <c r="F19" s="593">
        <f t="shared" si="1"/>
        <v>0</v>
      </c>
      <c r="G19" s="593">
        <f t="shared" si="1"/>
        <v>0</v>
      </c>
      <c r="H19" s="593">
        <f t="shared" si="1"/>
        <v>0</v>
      </c>
      <c r="I19" s="593">
        <f t="shared" si="1"/>
        <v>0</v>
      </c>
      <c r="J19" s="593">
        <f t="shared" si="1"/>
        <v>146.72268907563023</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11021</v>
      </c>
      <c r="C27" s="851">
        <v>2540</v>
      </c>
      <c r="D27" s="672" t="s">
        <v>818</v>
      </c>
      <c r="E27" s="671" t="s">
        <v>819</v>
      </c>
      <c r="F27" s="671" t="s">
        <v>820</v>
      </c>
      <c r="G27" s="671" t="s">
        <v>821</v>
      </c>
      <c r="H27" s="671" t="s">
        <v>822</v>
      </c>
      <c r="I27" s="671" t="s">
        <v>823</v>
      </c>
      <c r="J27" s="850">
        <v>40545</v>
      </c>
      <c r="K27" s="850">
        <v>40634</v>
      </c>
      <c r="L27" s="671" t="s">
        <v>824</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1600</v>
      </c>
      <c r="Y27" s="671" t="s">
        <v>50</v>
      </c>
      <c r="Z27" s="673" t="s">
        <v>156</v>
      </c>
    </row>
    <row r="28" spans="1:26" s="625" customFormat="1" ht="25.5">
      <c r="A28" s="624"/>
      <c r="B28" s="851">
        <v>11021</v>
      </c>
      <c r="C28" s="851">
        <v>2540</v>
      </c>
      <c r="D28" s="672" t="s">
        <v>818</v>
      </c>
      <c r="E28" s="671" t="s">
        <v>819</v>
      </c>
      <c r="F28" s="671" t="s">
        <v>825</v>
      </c>
      <c r="G28" s="671" t="s">
        <v>821</v>
      </c>
      <c r="H28" s="671" t="s">
        <v>822</v>
      </c>
      <c r="I28" s="671" t="s">
        <v>826</v>
      </c>
      <c r="J28" s="850">
        <v>41071</v>
      </c>
      <c r="K28" s="850">
        <v>41214</v>
      </c>
      <c r="L28" s="671" t="s">
        <v>824</v>
      </c>
      <c r="M28" s="671">
        <v>9.6999999999999993</v>
      </c>
      <c r="N28" s="671">
        <v>43.649999999999991</v>
      </c>
      <c r="O28" s="671">
        <v>62.357142857142847</v>
      </c>
      <c r="P28" s="671">
        <v>0</v>
      </c>
      <c r="Q28" s="671">
        <v>124.71428571428569</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19.399999999999999</v>
      </c>
      <c r="N57" s="629">
        <f>SUM(N27:N56)</f>
        <v>87.299999999999983</v>
      </c>
      <c r="O57" s="629">
        <f t="shared" ref="O57:W57" si="2">SUM(O27:O56)</f>
        <v>124.71428571428569</v>
      </c>
      <c r="P57" s="629">
        <f t="shared" si="2"/>
        <v>0</v>
      </c>
      <c r="Q57" s="629">
        <f t="shared" si="2"/>
        <v>249.42857142857139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9.6999999999999993</v>
      </c>
      <c r="N59" s="629">
        <f ca="1">SUMIF($Z$27:AB56,"tertiair",N27:N56)</f>
        <v>43.649999999999991</v>
      </c>
      <c r="O59" s="629">
        <f ca="1">SUMIF($Z$27:AC56,"tertiair",O27:O56)</f>
        <v>62.357142857142847</v>
      </c>
      <c r="P59" s="629">
        <f ca="1">SUMIF($Z$27:AD56,"tertiair",P27:P56)</f>
        <v>0</v>
      </c>
      <c r="Q59" s="629">
        <f ca="1">SUMIF($Z$27:AE56,"tertiair",Q27:Q56)</f>
        <v>124.71428571428569</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102.70588235294116</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146.72268907563023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7972.9569794199997</v>
      </c>
      <c r="D10" s="718">
        <f ca="1">tertiair!C16</f>
        <v>62.357142857142847</v>
      </c>
      <c r="E10" s="718">
        <f ca="1">tertiair!D16</f>
        <v>11401.229862122542</v>
      </c>
      <c r="F10" s="718">
        <f>tertiair!E16</f>
        <v>126.20321817633234</v>
      </c>
      <c r="G10" s="718">
        <f ca="1">tertiair!F16</f>
        <v>1836.1938446803651</v>
      </c>
      <c r="H10" s="718">
        <f>tertiair!G16</f>
        <v>0</v>
      </c>
      <c r="I10" s="718">
        <f>tertiair!H16</f>
        <v>0</v>
      </c>
      <c r="J10" s="718">
        <f>tertiair!I16</f>
        <v>0</v>
      </c>
      <c r="K10" s="718">
        <f>tertiair!J16</f>
        <v>0</v>
      </c>
      <c r="L10" s="718">
        <f>tertiair!K16</f>
        <v>0</v>
      </c>
      <c r="M10" s="718">
        <f ca="1">tertiair!L16</f>
        <v>0</v>
      </c>
      <c r="N10" s="718">
        <f>tertiair!M16</f>
        <v>0</v>
      </c>
      <c r="O10" s="718">
        <f ca="1">tertiair!N16</f>
        <v>371.93458514699341</v>
      </c>
      <c r="P10" s="718">
        <f>tertiair!O16</f>
        <v>1.5633333333333335</v>
      </c>
      <c r="Q10" s="719">
        <f>tertiair!P16</f>
        <v>0</v>
      </c>
      <c r="R10" s="721">
        <f ca="1">SUM(C10:Q10)</f>
        <v>21772.438965736706</v>
      </c>
      <c r="S10" s="67"/>
    </row>
    <row r="11" spans="1:19" s="474" customFormat="1">
      <c r="A11" s="870" t="s">
        <v>225</v>
      </c>
      <c r="B11" s="875"/>
      <c r="C11" s="718">
        <f>huishoudens!B8</f>
        <v>14017.256782759354</v>
      </c>
      <c r="D11" s="718">
        <f>huishoudens!C8</f>
        <v>0</v>
      </c>
      <c r="E11" s="718">
        <f>huishoudens!D8</f>
        <v>44978.556772050004</v>
      </c>
      <c r="F11" s="718">
        <f>huishoudens!E8</f>
        <v>177.61584281103708</v>
      </c>
      <c r="G11" s="718">
        <f>huishoudens!F8</f>
        <v>2456.1233525485077</v>
      </c>
      <c r="H11" s="718">
        <f>huishoudens!G8</f>
        <v>0</v>
      </c>
      <c r="I11" s="718">
        <f>huishoudens!H8</f>
        <v>0</v>
      </c>
      <c r="J11" s="718">
        <f>huishoudens!I8</f>
        <v>0</v>
      </c>
      <c r="K11" s="718">
        <f>huishoudens!J8</f>
        <v>0</v>
      </c>
      <c r="L11" s="718">
        <f>huishoudens!K8</f>
        <v>0</v>
      </c>
      <c r="M11" s="718">
        <f>huishoudens!L8</f>
        <v>0</v>
      </c>
      <c r="N11" s="718">
        <f>huishoudens!M8</f>
        <v>0</v>
      </c>
      <c r="O11" s="718">
        <f>huishoudens!N8</f>
        <v>1513.3221275620201</v>
      </c>
      <c r="P11" s="718">
        <f>huishoudens!O8</f>
        <v>95.36333333333333</v>
      </c>
      <c r="Q11" s="719">
        <f>huishoudens!P8</f>
        <v>1334.6666666666667</v>
      </c>
      <c r="R11" s="721">
        <f>SUM(C11:Q11)</f>
        <v>64572.904877730922</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918.71739842299985</v>
      </c>
      <c r="D13" s="718">
        <f>industrie!C18</f>
        <v>0</v>
      </c>
      <c r="E13" s="718">
        <f>industrie!D18</f>
        <v>1482.9247010450399</v>
      </c>
      <c r="F13" s="718">
        <f>industrie!E18</f>
        <v>52.011804315491823</v>
      </c>
      <c r="G13" s="718">
        <f>industrie!F18</f>
        <v>268.13214496658946</v>
      </c>
      <c r="H13" s="718">
        <f>industrie!G18</f>
        <v>0</v>
      </c>
      <c r="I13" s="718">
        <f>industrie!H18</f>
        <v>0</v>
      </c>
      <c r="J13" s="718">
        <f>industrie!I18</f>
        <v>0</v>
      </c>
      <c r="K13" s="718">
        <f>industrie!J18</f>
        <v>1.7421908393853942</v>
      </c>
      <c r="L13" s="718">
        <f>industrie!K18</f>
        <v>0</v>
      </c>
      <c r="M13" s="718">
        <f>industrie!L18</f>
        <v>0</v>
      </c>
      <c r="N13" s="718">
        <f>industrie!M18</f>
        <v>0</v>
      </c>
      <c r="O13" s="718">
        <f>industrie!N18</f>
        <v>301.13653859056694</v>
      </c>
      <c r="P13" s="718">
        <f>industrie!O18</f>
        <v>0</v>
      </c>
      <c r="Q13" s="719">
        <f>industrie!P18</f>
        <v>0</v>
      </c>
      <c r="R13" s="721">
        <f>SUM(C13:Q13)</f>
        <v>3024.664778180073</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22908.931160602351</v>
      </c>
      <c r="D15" s="723">
        <f t="shared" ref="D15:Q15" ca="1" si="0">SUM(D9:D14)</f>
        <v>62.357142857142847</v>
      </c>
      <c r="E15" s="723">
        <f t="shared" ca="1" si="0"/>
        <v>57862.711335217587</v>
      </c>
      <c r="F15" s="723">
        <f t="shared" si="0"/>
        <v>355.83086530286124</v>
      </c>
      <c r="G15" s="723">
        <f t="shared" ca="1" si="0"/>
        <v>4560.4493421954621</v>
      </c>
      <c r="H15" s="723">
        <f t="shared" si="0"/>
        <v>0</v>
      </c>
      <c r="I15" s="723">
        <f t="shared" si="0"/>
        <v>0</v>
      </c>
      <c r="J15" s="723">
        <f t="shared" si="0"/>
        <v>0</v>
      </c>
      <c r="K15" s="723">
        <f t="shared" si="0"/>
        <v>1.7421908393853942</v>
      </c>
      <c r="L15" s="723">
        <f t="shared" si="0"/>
        <v>0</v>
      </c>
      <c r="M15" s="723">
        <f t="shared" ca="1" si="0"/>
        <v>0</v>
      </c>
      <c r="N15" s="723">
        <f t="shared" si="0"/>
        <v>0</v>
      </c>
      <c r="O15" s="723">
        <f t="shared" ca="1" si="0"/>
        <v>2186.3932512995807</v>
      </c>
      <c r="P15" s="723">
        <f t="shared" si="0"/>
        <v>96.926666666666662</v>
      </c>
      <c r="Q15" s="724">
        <f t="shared" si="0"/>
        <v>1334.6666666666667</v>
      </c>
      <c r="R15" s="725">
        <f ca="1">SUM(R9:R14)</f>
        <v>89370.008621647692</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908.96346035210661</v>
      </c>
      <c r="I18" s="718">
        <f>transport!H54</f>
        <v>0</v>
      </c>
      <c r="J18" s="718">
        <f>transport!I54</f>
        <v>0</v>
      </c>
      <c r="K18" s="718">
        <f>transport!J54</f>
        <v>0</v>
      </c>
      <c r="L18" s="718">
        <f>transport!K54</f>
        <v>0</v>
      </c>
      <c r="M18" s="718">
        <f>transport!L54</f>
        <v>0</v>
      </c>
      <c r="N18" s="718">
        <f>transport!M54</f>
        <v>28.194013023350077</v>
      </c>
      <c r="O18" s="718">
        <f>transport!N54</f>
        <v>0</v>
      </c>
      <c r="P18" s="718">
        <f>transport!O54</f>
        <v>0</v>
      </c>
      <c r="Q18" s="719">
        <f>transport!P54</f>
        <v>0</v>
      </c>
      <c r="R18" s="721">
        <f>SUM(C18:Q18)</f>
        <v>937.15747337545668</v>
      </c>
      <c r="S18" s="67"/>
    </row>
    <row r="19" spans="1:19" s="474" customFormat="1" ht="15" thickBot="1">
      <c r="A19" s="870" t="s">
        <v>307</v>
      </c>
      <c r="B19" s="875"/>
      <c r="C19" s="727">
        <f>transport!B14</f>
        <v>4.1507778107196618</v>
      </c>
      <c r="D19" s="727">
        <f>transport!C14</f>
        <v>0</v>
      </c>
      <c r="E19" s="727">
        <f>transport!D14</f>
        <v>9.5273191986837915</v>
      </c>
      <c r="F19" s="727">
        <f>transport!E14</f>
        <v>36.623576814845698</v>
      </c>
      <c r="G19" s="727">
        <f>transport!F14</f>
        <v>0</v>
      </c>
      <c r="H19" s="727">
        <f>transport!G14</f>
        <v>9695.0639836310638</v>
      </c>
      <c r="I19" s="727">
        <f>transport!H14</f>
        <v>2555.5501671440948</v>
      </c>
      <c r="J19" s="727">
        <f>transport!I14</f>
        <v>0</v>
      </c>
      <c r="K19" s="727">
        <f>transport!J14</f>
        <v>0</v>
      </c>
      <c r="L19" s="727">
        <f>transport!K14</f>
        <v>0</v>
      </c>
      <c r="M19" s="727">
        <f>transport!L14</f>
        <v>0</v>
      </c>
      <c r="N19" s="727">
        <f>transport!M14</f>
        <v>382.03188858258324</v>
      </c>
      <c r="O19" s="727">
        <f>transport!N14</f>
        <v>0</v>
      </c>
      <c r="P19" s="727">
        <f>transport!O14</f>
        <v>0</v>
      </c>
      <c r="Q19" s="728">
        <f>transport!P14</f>
        <v>0</v>
      </c>
      <c r="R19" s="729">
        <f>SUM(C19:Q19)</f>
        <v>12682.947713181991</v>
      </c>
      <c r="S19" s="67"/>
    </row>
    <row r="20" spans="1:19" s="474" customFormat="1" ht="15.75" thickBot="1">
      <c r="A20" s="730" t="s">
        <v>230</v>
      </c>
      <c r="B20" s="878"/>
      <c r="C20" s="873">
        <f>SUM(C17:C19)</f>
        <v>4.1507778107196618</v>
      </c>
      <c r="D20" s="731">
        <f t="shared" ref="D20:R20" si="1">SUM(D17:D19)</f>
        <v>0</v>
      </c>
      <c r="E20" s="731">
        <f t="shared" si="1"/>
        <v>9.5273191986837915</v>
      </c>
      <c r="F20" s="731">
        <f t="shared" si="1"/>
        <v>36.623576814845698</v>
      </c>
      <c r="G20" s="731">
        <f t="shared" si="1"/>
        <v>0</v>
      </c>
      <c r="H20" s="731">
        <f t="shared" si="1"/>
        <v>10604.02744398317</v>
      </c>
      <c r="I20" s="731">
        <f t="shared" si="1"/>
        <v>2555.5501671440948</v>
      </c>
      <c r="J20" s="731">
        <f t="shared" si="1"/>
        <v>0</v>
      </c>
      <c r="K20" s="731">
        <f t="shared" si="1"/>
        <v>0</v>
      </c>
      <c r="L20" s="731">
        <f t="shared" si="1"/>
        <v>0</v>
      </c>
      <c r="M20" s="731">
        <f t="shared" si="1"/>
        <v>0</v>
      </c>
      <c r="N20" s="731">
        <f t="shared" si="1"/>
        <v>410.2259016059333</v>
      </c>
      <c r="O20" s="731">
        <f t="shared" si="1"/>
        <v>0</v>
      </c>
      <c r="P20" s="731">
        <f t="shared" si="1"/>
        <v>0</v>
      </c>
      <c r="Q20" s="732">
        <f t="shared" si="1"/>
        <v>0</v>
      </c>
      <c r="R20" s="733">
        <f t="shared" si="1"/>
        <v>13620.105186557448</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230.30927057900001</v>
      </c>
      <c r="D22" s="727">
        <f>+landbouw!C8</f>
        <v>62.357142857142847</v>
      </c>
      <c r="E22" s="727">
        <f>+landbouw!D8</f>
        <v>1474.289415648368</v>
      </c>
      <c r="F22" s="727">
        <f>+landbouw!E8</f>
        <v>5.9387918028698232</v>
      </c>
      <c r="G22" s="727">
        <f>+landbouw!F8</f>
        <v>841.82424423622024</v>
      </c>
      <c r="H22" s="727">
        <f>+landbouw!G8</f>
        <v>0</v>
      </c>
      <c r="I22" s="727">
        <f>+landbouw!H8</f>
        <v>0</v>
      </c>
      <c r="J22" s="727">
        <f>+landbouw!I8</f>
        <v>0</v>
      </c>
      <c r="K22" s="727">
        <f>+landbouw!J8</f>
        <v>33.156062655218221</v>
      </c>
      <c r="L22" s="727">
        <f>+landbouw!K8</f>
        <v>0</v>
      </c>
      <c r="M22" s="727">
        <f>+landbouw!L8</f>
        <v>0</v>
      </c>
      <c r="N22" s="727">
        <f>+landbouw!M8</f>
        <v>0</v>
      </c>
      <c r="O22" s="727">
        <f>+landbouw!N8</f>
        <v>0</v>
      </c>
      <c r="P22" s="727">
        <f>+landbouw!O8</f>
        <v>0</v>
      </c>
      <c r="Q22" s="728">
        <f>+landbouw!P8</f>
        <v>0</v>
      </c>
      <c r="R22" s="729">
        <f>SUM(C22:Q22)</f>
        <v>2647.8749277788193</v>
      </c>
      <c r="S22" s="67"/>
    </row>
    <row r="23" spans="1:19" s="474" customFormat="1" ht="17.25" thickTop="1" thickBot="1">
      <c r="A23" s="734" t="s">
        <v>116</v>
      </c>
      <c r="B23" s="864"/>
      <c r="C23" s="735">
        <f ca="1">C20+C15+C22</f>
        <v>23143.39120899207</v>
      </c>
      <c r="D23" s="735">
        <f t="shared" ref="D23:Q23" ca="1" si="2">D20+D15+D22</f>
        <v>124.71428571428569</v>
      </c>
      <c r="E23" s="735">
        <f t="shared" ca="1" si="2"/>
        <v>59346.52807006464</v>
      </c>
      <c r="F23" s="735">
        <f t="shared" si="2"/>
        <v>398.39323392057679</v>
      </c>
      <c r="G23" s="735">
        <f t="shared" ca="1" si="2"/>
        <v>5402.2735864316819</v>
      </c>
      <c r="H23" s="735">
        <f t="shared" si="2"/>
        <v>10604.02744398317</v>
      </c>
      <c r="I23" s="735">
        <f t="shared" si="2"/>
        <v>2555.5501671440948</v>
      </c>
      <c r="J23" s="735">
        <f t="shared" si="2"/>
        <v>0</v>
      </c>
      <c r="K23" s="735">
        <f t="shared" si="2"/>
        <v>34.898253494603615</v>
      </c>
      <c r="L23" s="735">
        <f t="shared" si="2"/>
        <v>0</v>
      </c>
      <c r="M23" s="735">
        <f t="shared" ca="1" si="2"/>
        <v>0</v>
      </c>
      <c r="N23" s="735">
        <f t="shared" si="2"/>
        <v>410.2259016059333</v>
      </c>
      <c r="O23" s="735">
        <f t="shared" ca="1" si="2"/>
        <v>2186.3932512995807</v>
      </c>
      <c r="P23" s="735">
        <f t="shared" si="2"/>
        <v>96.926666666666662</v>
      </c>
      <c r="Q23" s="736">
        <f t="shared" si="2"/>
        <v>1334.6666666666667</v>
      </c>
      <c r="R23" s="737">
        <f ca="1">R20+R15+R22</f>
        <v>105637.98873598396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1673.1734664447019</v>
      </c>
      <c r="D36" s="718">
        <f ca="1">tertiair!C20</f>
        <v>0</v>
      </c>
      <c r="E36" s="718">
        <f ca="1">tertiair!D20</f>
        <v>2303.0484321487538</v>
      </c>
      <c r="F36" s="718">
        <f>tertiair!E20</f>
        <v>28.648130526027444</v>
      </c>
      <c r="G36" s="718">
        <f ca="1">tertiair!F20</f>
        <v>490.26375652965754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4495.1337856491409</v>
      </c>
    </row>
    <row r="37" spans="1:18">
      <c r="A37" s="885" t="s">
        <v>225</v>
      </c>
      <c r="B37" s="892"/>
      <c r="C37" s="718">
        <f ca="1">huishoudens!B12</f>
        <v>2941.606505816254</v>
      </c>
      <c r="D37" s="718">
        <f ca="1">huishoudens!C12</f>
        <v>0</v>
      </c>
      <c r="E37" s="718">
        <f>huishoudens!D12</f>
        <v>9085.6684679541013</v>
      </c>
      <c r="F37" s="718">
        <f>huishoudens!E12</f>
        <v>40.31879631810542</v>
      </c>
      <c r="G37" s="718">
        <f>huishoudens!F12</f>
        <v>655.78493513045157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12723.378705218915</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192.79842825820594</v>
      </c>
      <c r="D39" s="718">
        <f ca="1">industrie!C22</f>
        <v>0</v>
      </c>
      <c r="E39" s="718">
        <f>industrie!D22</f>
        <v>299.55078961109808</v>
      </c>
      <c r="F39" s="718">
        <f>industrie!E22</f>
        <v>11.806679579616643</v>
      </c>
      <c r="G39" s="718">
        <f>industrie!F22</f>
        <v>71.591282706079397</v>
      </c>
      <c r="H39" s="718">
        <f>industrie!G22</f>
        <v>0</v>
      </c>
      <c r="I39" s="718">
        <f>industrie!H22</f>
        <v>0</v>
      </c>
      <c r="J39" s="718">
        <f>industrie!I22</f>
        <v>0</v>
      </c>
      <c r="K39" s="718">
        <f>industrie!J22</f>
        <v>0.61673555714242956</v>
      </c>
      <c r="L39" s="718">
        <f>industrie!K22</f>
        <v>0</v>
      </c>
      <c r="M39" s="718">
        <f>industrie!L22</f>
        <v>0</v>
      </c>
      <c r="N39" s="718">
        <f>industrie!M22</f>
        <v>0</v>
      </c>
      <c r="O39" s="718">
        <f>industrie!N22</f>
        <v>0</v>
      </c>
      <c r="P39" s="718">
        <f>industrie!O22</f>
        <v>0</v>
      </c>
      <c r="Q39" s="828">
        <f>industrie!P22</f>
        <v>0</v>
      </c>
      <c r="R39" s="918">
        <f ca="1">SUM(C39:Q39)</f>
        <v>576.36391571214244</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4807.5784005191617</v>
      </c>
      <c r="D41" s="763">
        <f t="shared" ref="D41:R41" ca="1" si="4">SUM(D35:D40)</f>
        <v>0</v>
      </c>
      <c r="E41" s="763">
        <f t="shared" ca="1" si="4"/>
        <v>11688.267689713954</v>
      </c>
      <c r="F41" s="763">
        <f t="shared" si="4"/>
        <v>80.773606423749513</v>
      </c>
      <c r="G41" s="763">
        <f t="shared" ca="1" si="4"/>
        <v>1217.6399743661887</v>
      </c>
      <c r="H41" s="763">
        <f t="shared" si="4"/>
        <v>0</v>
      </c>
      <c r="I41" s="763">
        <f t="shared" si="4"/>
        <v>0</v>
      </c>
      <c r="J41" s="763">
        <f t="shared" si="4"/>
        <v>0</v>
      </c>
      <c r="K41" s="763">
        <f t="shared" si="4"/>
        <v>0.61673555714242956</v>
      </c>
      <c r="L41" s="763">
        <f t="shared" si="4"/>
        <v>0</v>
      </c>
      <c r="M41" s="763">
        <f t="shared" ca="1" si="4"/>
        <v>0</v>
      </c>
      <c r="N41" s="763">
        <f t="shared" si="4"/>
        <v>0</v>
      </c>
      <c r="O41" s="763">
        <f t="shared" ca="1" si="4"/>
        <v>0</v>
      </c>
      <c r="P41" s="763">
        <f t="shared" si="4"/>
        <v>0</v>
      </c>
      <c r="Q41" s="764">
        <f t="shared" si="4"/>
        <v>0</v>
      </c>
      <c r="R41" s="765">
        <f t="shared" ca="1" si="4"/>
        <v>17794.876406580199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242.69324391401247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242.69324391401247</v>
      </c>
    </row>
    <row r="45" spans="1:18" ht="15" thickBot="1">
      <c r="A45" s="888" t="s">
        <v>307</v>
      </c>
      <c r="B45" s="898"/>
      <c r="C45" s="727">
        <f ca="1">transport!B18</f>
        <v>0.87106594403181981</v>
      </c>
      <c r="D45" s="727">
        <f>transport!C18</f>
        <v>0</v>
      </c>
      <c r="E45" s="727">
        <f>transport!D18</f>
        <v>1.924518478134126</v>
      </c>
      <c r="F45" s="727">
        <f>transport!E18</f>
        <v>8.313551936969974</v>
      </c>
      <c r="G45" s="727">
        <f>transport!F18</f>
        <v>0</v>
      </c>
      <c r="H45" s="727">
        <f>transport!G18</f>
        <v>2588.5820836294943</v>
      </c>
      <c r="I45" s="727">
        <f>transport!H18</f>
        <v>636.33199161887956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3236.0232116075094</v>
      </c>
    </row>
    <row r="46" spans="1:18" ht="15.75" thickBot="1">
      <c r="A46" s="886" t="s">
        <v>230</v>
      </c>
      <c r="B46" s="899"/>
      <c r="C46" s="763">
        <f t="shared" ref="C46:R46" ca="1" si="5">SUM(C43:C45)</f>
        <v>0.87106594403181981</v>
      </c>
      <c r="D46" s="763">
        <f t="shared" ca="1" si="5"/>
        <v>0</v>
      </c>
      <c r="E46" s="763">
        <f t="shared" si="5"/>
        <v>1.924518478134126</v>
      </c>
      <c r="F46" s="763">
        <f t="shared" si="5"/>
        <v>8.313551936969974</v>
      </c>
      <c r="G46" s="763">
        <f t="shared" si="5"/>
        <v>0</v>
      </c>
      <c r="H46" s="763">
        <f t="shared" si="5"/>
        <v>2831.2753275435066</v>
      </c>
      <c r="I46" s="763">
        <f t="shared" si="5"/>
        <v>636.33199161887956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3478.7164555215218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48.331799808237363</v>
      </c>
      <c r="D48" s="718">
        <f ca="1">+landbouw!C12</f>
        <v>0</v>
      </c>
      <c r="E48" s="718">
        <f>+landbouw!D12</f>
        <v>297.80646196097035</v>
      </c>
      <c r="F48" s="718">
        <f>+landbouw!E12</f>
        <v>1.3481057392514499</v>
      </c>
      <c r="G48" s="718">
        <f>+landbouw!F12</f>
        <v>224.76707321107082</v>
      </c>
      <c r="H48" s="718">
        <f>+landbouw!G12</f>
        <v>0</v>
      </c>
      <c r="I48" s="718">
        <f>+landbouw!H12</f>
        <v>0</v>
      </c>
      <c r="J48" s="718">
        <f>+landbouw!I12</f>
        <v>0</v>
      </c>
      <c r="K48" s="718">
        <f>+landbouw!J12</f>
        <v>11.737246179947249</v>
      </c>
      <c r="L48" s="718">
        <f>+landbouw!K12</f>
        <v>0</v>
      </c>
      <c r="M48" s="718">
        <f>+landbouw!L12</f>
        <v>0</v>
      </c>
      <c r="N48" s="718">
        <f>+landbouw!M12</f>
        <v>0</v>
      </c>
      <c r="O48" s="718">
        <f>+landbouw!N12</f>
        <v>0</v>
      </c>
      <c r="P48" s="718">
        <f>+landbouw!O12</f>
        <v>0</v>
      </c>
      <c r="Q48" s="719">
        <f>+landbouw!P12</f>
        <v>0</v>
      </c>
      <c r="R48" s="761">
        <f ca="1">SUM(C48:Q48)</f>
        <v>583.99068689947717</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4856.7812662714314</v>
      </c>
      <c r="D53" s="773">
        <f t="shared" ref="D53:Q53" ca="1" si="6">D41+D46+D48</f>
        <v>0</v>
      </c>
      <c r="E53" s="773">
        <f t="shared" ca="1" si="6"/>
        <v>11987.998670153058</v>
      </c>
      <c r="F53" s="773">
        <f t="shared" si="6"/>
        <v>90.435264099970937</v>
      </c>
      <c r="G53" s="773">
        <f t="shared" ca="1" si="6"/>
        <v>1442.4070475772594</v>
      </c>
      <c r="H53" s="773">
        <f t="shared" si="6"/>
        <v>2831.2753275435066</v>
      </c>
      <c r="I53" s="773">
        <f t="shared" si="6"/>
        <v>636.33199161887956</v>
      </c>
      <c r="J53" s="773">
        <f t="shared" si="6"/>
        <v>0</v>
      </c>
      <c r="K53" s="773">
        <f t="shared" si="6"/>
        <v>12.353981737089679</v>
      </c>
      <c r="L53" s="773">
        <f t="shared" si="6"/>
        <v>0</v>
      </c>
      <c r="M53" s="773">
        <f t="shared" ca="1" si="6"/>
        <v>0</v>
      </c>
      <c r="N53" s="773">
        <f t="shared" si="6"/>
        <v>0</v>
      </c>
      <c r="O53" s="773">
        <f t="shared" ca="1" si="6"/>
        <v>0</v>
      </c>
      <c r="P53" s="773">
        <f>P41+P46+P48</f>
        <v>0</v>
      </c>
      <c r="Q53" s="774">
        <f t="shared" si="6"/>
        <v>0</v>
      </c>
      <c r="R53" s="775">
        <f ca="1">R41+R46+R48</f>
        <v>21857.583549001196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0.20985607607861681</v>
      </c>
      <c r="D55" s="836">
        <f t="shared" ca="1" si="7"/>
        <v>0</v>
      </c>
      <c r="E55" s="836">
        <f t="shared" ca="1" si="7"/>
        <v>0.20200000000000001</v>
      </c>
      <c r="F55" s="836">
        <f t="shared" si="7"/>
        <v>0.22700000000000001</v>
      </c>
      <c r="G55" s="836">
        <f t="shared" ca="1" si="7"/>
        <v>0.26700000000000007</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1079.7053887593543</v>
      </c>
      <c r="C66" s="795">
        <f>'lokale energieproductie'!B6</f>
        <v>1079.7053887593543</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87.299999999999983</v>
      </c>
      <c r="C67" s="794">
        <f>B67*IFERROR(SUM(J67:L67)/SUM(D67:M67),0)</f>
        <v>87.299999999999983</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102.70588235294116</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1167.0053887593542</v>
      </c>
      <c r="C69" s="803">
        <f>SUM(C64:C68)</f>
        <v>1167.0053887593542</v>
      </c>
      <c r="D69" s="804">
        <f t="shared" ref="D69:M69" si="8">SUM(D67:D68)</f>
        <v>0</v>
      </c>
      <c r="E69" s="804">
        <f t="shared" si="8"/>
        <v>0</v>
      </c>
      <c r="F69" s="804">
        <f t="shared" si="8"/>
        <v>0</v>
      </c>
      <c r="G69" s="804">
        <f t="shared" si="8"/>
        <v>0</v>
      </c>
      <c r="H69" s="804">
        <f t="shared" si="8"/>
        <v>0</v>
      </c>
      <c r="I69" s="804">
        <f t="shared" si="8"/>
        <v>0</v>
      </c>
      <c r="J69" s="804">
        <f t="shared" si="8"/>
        <v>0</v>
      </c>
      <c r="K69" s="804">
        <f t="shared" si="8"/>
        <v>102.70588235294116</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124.71428571428569</v>
      </c>
      <c r="C78" s="817">
        <f>B78*IFERROR(SUM(I78:L78)/SUM(D78:M78),0)</f>
        <v>124.71428571428569</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146.72268907563023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124.71428571428569</v>
      </c>
      <c r="C81" s="803">
        <f>SUM(C78:C80)</f>
        <v>124.71428571428569</v>
      </c>
      <c r="D81" s="803">
        <f t="shared" ref="D81:P81" si="9">SUM(D78:D80)</f>
        <v>0</v>
      </c>
      <c r="E81" s="803">
        <f t="shared" si="9"/>
        <v>0</v>
      </c>
      <c r="F81" s="803">
        <f t="shared" si="9"/>
        <v>0</v>
      </c>
      <c r="G81" s="803">
        <f t="shared" si="9"/>
        <v>0</v>
      </c>
      <c r="H81" s="803">
        <f t="shared" si="9"/>
        <v>0</v>
      </c>
      <c r="I81" s="803">
        <f t="shared" si="9"/>
        <v>0</v>
      </c>
      <c r="J81" s="803">
        <f t="shared" si="9"/>
        <v>0</v>
      </c>
      <c r="K81" s="803">
        <f t="shared" si="9"/>
        <v>146.72268907563023</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14017.256782759354</v>
      </c>
      <c r="C4" s="478">
        <f>huishoudens!C8</f>
        <v>0</v>
      </c>
      <c r="D4" s="478">
        <f>huishoudens!D8</f>
        <v>44978.556772050004</v>
      </c>
      <c r="E4" s="478">
        <f>huishoudens!E8</f>
        <v>177.61584281103708</v>
      </c>
      <c r="F4" s="478">
        <f>huishoudens!F8</f>
        <v>2456.1233525485077</v>
      </c>
      <c r="G4" s="478">
        <f>huishoudens!G8</f>
        <v>0</v>
      </c>
      <c r="H4" s="478">
        <f>huishoudens!H8</f>
        <v>0</v>
      </c>
      <c r="I4" s="478">
        <f>huishoudens!I8</f>
        <v>0</v>
      </c>
      <c r="J4" s="478">
        <f>huishoudens!J8</f>
        <v>0</v>
      </c>
      <c r="K4" s="478">
        <f>huishoudens!K8</f>
        <v>0</v>
      </c>
      <c r="L4" s="478">
        <f>huishoudens!L8</f>
        <v>0</v>
      </c>
      <c r="M4" s="478">
        <f>huishoudens!M8</f>
        <v>0</v>
      </c>
      <c r="N4" s="478">
        <f>huishoudens!N8</f>
        <v>1513.3221275620201</v>
      </c>
      <c r="O4" s="478">
        <f>huishoudens!O8</f>
        <v>95.36333333333333</v>
      </c>
      <c r="P4" s="479">
        <f>huishoudens!P8</f>
        <v>1334.6666666666667</v>
      </c>
      <c r="Q4" s="480">
        <f>SUM(B4:P4)</f>
        <v>64572.904877730922</v>
      </c>
    </row>
    <row r="5" spans="1:17">
      <c r="A5" s="477" t="s">
        <v>156</v>
      </c>
      <c r="B5" s="478">
        <f ca="1">tertiair!B16</f>
        <v>7355.8429794199992</v>
      </c>
      <c r="C5" s="478">
        <f ca="1">tertiair!C16</f>
        <v>62.357142857142847</v>
      </c>
      <c r="D5" s="478">
        <f ca="1">tertiair!D16</f>
        <v>11401.229862122542</v>
      </c>
      <c r="E5" s="478">
        <f>tertiair!E16</f>
        <v>126.20321817633234</v>
      </c>
      <c r="F5" s="478">
        <f ca="1">tertiair!F16</f>
        <v>1836.1938446803651</v>
      </c>
      <c r="G5" s="478">
        <f>tertiair!G16</f>
        <v>0</v>
      </c>
      <c r="H5" s="478">
        <f>tertiair!H16</f>
        <v>0</v>
      </c>
      <c r="I5" s="478">
        <f>tertiair!I16</f>
        <v>0</v>
      </c>
      <c r="J5" s="478">
        <f>tertiair!J16</f>
        <v>0</v>
      </c>
      <c r="K5" s="478">
        <f>tertiair!K16</f>
        <v>0</v>
      </c>
      <c r="L5" s="478">
        <f ca="1">tertiair!L16</f>
        <v>0</v>
      </c>
      <c r="M5" s="478">
        <f>tertiair!M16</f>
        <v>0</v>
      </c>
      <c r="N5" s="478">
        <f ca="1">tertiair!N16</f>
        <v>371.93458514699341</v>
      </c>
      <c r="O5" s="478">
        <f>tertiair!O16</f>
        <v>1.5633333333333335</v>
      </c>
      <c r="P5" s="479">
        <f>tertiair!P16</f>
        <v>0</v>
      </c>
      <c r="Q5" s="477">
        <f t="shared" ref="Q5:Q13" ca="1" si="0">SUM(B5:P5)</f>
        <v>21155.324965736705</v>
      </c>
    </row>
    <row r="6" spans="1:17">
      <c r="A6" s="477" t="s">
        <v>194</v>
      </c>
      <c r="B6" s="478">
        <f>'openbare verlichting'!B8</f>
        <v>617.11400000000003</v>
      </c>
      <c r="C6" s="478"/>
      <c r="D6" s="478"/>
      <c r="E6" s="478"/>
      <c r="F6" s="478"/>
      <c r="G6" s="478"/>
      <c r="H6" s="478"/>
      <c r="I6" s="478"/>
      <c r="J6" s="478"/>
      <c r="K6" s="478"/>
      <c r="L6" s="478"/>
      <c r="M6" s="478"/>
      <c r="N6" s="478"/>
      <c r="O6" s="478"/>
      <c r="P6" s="479"/>
      <c r="Q6" s="477">
        <f t="shared" si="0"/>
        <v>617.11400000000003</v>
      </c>
    </row>
    <row r="7" spans="1:17">
      <c r="A7" s="477" t="s">
        <v>112</v>
      </c>
      <c r="B7" s="478">
        <f>landbouw!B8</f>
        <v>230.30927057900001</v>
      </c>
      <c r="C7" s="478">
        <f>landbouw!C8</f>
        <v>62.357142857142847</v>
      </c>
      <c r="D7" s="478">
        <f>landbouw!D8</f>
        <v>1474.289415648368</v>
      </c>
      <c r="E7" s="478">
        <f>landbouw!E8</f>
        <v>5.9387918028698232</v>
      </c>
      <c r="F7" s="478">
        <f>landbouw!F8</f>
        <v>841.82424423622024</v>
      </c>
      <c r="G7" s="478">
        <f>landbouw!G8</f>
        <v>0</v>
      </c>
      <c r="H7" s="478">
        <f>landbouw!H8</f>
        <v>0</v>
      </c>
      <c r="I7" s="478">
        <f>landbouw!I8</f>
        <v>0</v>
      </c>
      <c r="J7" s="478">
        <f>landbouw!J8</f>
        <v>33.156062655218221</v>
      </c>
      <c r="K7" s="478">
        <f>landbouw!K8</f>
        <v>0</v>
      </c>
      <c r="L7" s="478">
        <f>landbouw!L8</f>
        <v>0</v>
      </c>
      <c r="M7" s="478">
        <f>landbouw!M8</f>
        <v>0</v>
      </c>
      <c r="N7" s="478">
        <f>landbouw!N8</f>
        <v>0</v>
      </c>
      <c r="O7" s="478">
        <f>landbouw!O8</f>
        <v>0</v>
      </c>
      <c r="P7" s="479">
        <f>landbouw!P8</f>
        <v>0</v>
      </c>
      <c r="Q7" s="477">
        <f t="shared" si="0"/>
        <v>2647.8749277788193</v>
      </c>
    </row>
    <row r="8" spans="1:17">
      <c r="A8" s="477" t="s">
        <v>638</v>
      </c>
      <c r="B8" s="478">
        <f>industrie!B18</f>
        <v>918.71739842299985</v>
      </c>
      <c r="C8" s="478">
        <f>industrie!C18</f>
        <v>0</v>
      </c>
      <c r="D8" s="478">
        <f>industrie!D18</f>
        <v>1482.9247010450399</v>
      </c>
      <c r="E8" s="478">
        <f>industrie!E18</f>
        <v>52.011804315491823</v>
      </c>
      <c r="F8" s="478">
        <f>industrie!F18</f>
        <v>268.13214496658946</v>
      </c>
      <c r="G8" s="478">
        <f>industrie!G18</f>
        <v>0</v>
      </c>
      <c r="H8" s="478">
        <f>industrie!H18</f>
        <v>0</v>
      </c>
      <c r="I8" s="478">
        <f>industrie!I18</f>
        <v>0</v>
      </c>
      <c r="J8" s="478">
        <f>industrie!J18</f>
        <v>1.7421908393853942</v>
      </c>
      <c r="K8" s="478">
        <f>industrie!K18</f>
        <v>0</v>
      </c>
      <c r="L8" s="478">
        <f>industrie!L18</f>
        <v>0</v>
      </c>
      <c r="M8" s="478">
        <f>industrie!M18</f>
        <v>0</v>
      </c>
      <c r="N8" s="478">
        <f>industrie!N18</f>
        <v>301.13653859056694</v>
      </c>
      <c r="O8" s="478">
        <f>industrie!O18</f>
        <v>0</v>
      </c>
      <c r="P8" s="479">
        <f>industrie!P18</f>
        <v>0</v>
      </c>
      <c r="Q8" s="477">
        <f t="shared" si="0"/>
        <v>3024.664778180073</v>
      </c>
    </row>
    <row r="9" spans="1:17" s="483" customFormat="1">
      <c r="A9" s="481" t="s">
        <v>564</v>
      </c>
      <c r="B9" s="482">
        <f>transport!B14</f>
        <v>4.1507778107196618</v>
      </c>
      <c r="C9" s="482">
        <f>transport!C14</f>
        <v>0</v>
      </c>
      <c r="D9" s="482">
        <f>transport!D14</f>
        <v>9.5273191986837915</v>
      </c>
      <c r="E9" s="482">
        <f>transport!E14</f>
        <v>36.623576814845698</v>
      </c>
      <c r="F9" s="482">
        <f>transport!F14</f>
        <v>0</v>
      </c>
      <c r="G9" s="482">
        <f>transport!G14</f>
        <v>9695.0639836310638</v>
      </c>
      <c r="H9" s="482">
        <f>transport!H14</f>
        <v>2555.5501671440948</v>
      </c>
      <c r="I9" s="482">
        <f>transport!I14</f>
        <v>0</v>
      </c>
      <c r="J9" s="482">
        <f>transport!J14</f>
        <v>0</v>
      </c>
      <c r="K9" s="482">
        <f>transport!K14</f>
        <v>0</v>
      </c>
      <c r="L9" s="482">
        <f>transport!L14</f>
        <v>0</v>
      </c>
      <c r="M9" s="482">
        <f>transport!M14</f>
        <v>382.03188858258324</v>
      </c>
      <c r="N9" s="482">
        <f>transport!N14</f>
        <v>0</v>
      </c>
      <c r="O9" s="482">
        <f>transport!O14</f>
        <v>0</v>
      </c>
      <c r="P9" s="482">
        <f>transport!P14</f>
        <v>0</v>
      </c>
      <c r="Q9" s="481">
        <f>SUM(B9:P9)</f>
        <v>12682.947713181991</v>
      </c>
    </row>
    <row r="10" spans="1:17">
      <c r="A10" s="477" t="s">
        <v>554</v>
      </c>
      <c r="B10" s="478">
        <f>transport!B54</f>
        <v>0</v>
      </c>
      <c r="C10" s="478">
        <f>transport!C54</f>
        <v>0</v>
      </c>
      <c r="D10" s="478">
        <f>transport!D54</f>
        <v>0</v>
      </c>
      <c r="E10" s="478">
        <f>transport!E54</f>
        <v>0</v>
      </c>
      <c r="F10" s="478">
        <f>transport!F54</f>
        <v>0</v>
      </c>
      <c r="G10" s="478">
        <f>transport!G54</f>
        <v>908.96346035210661</v>
      </c>
      <c r="H10" s="478">
        <f>transport!H54</f>
        <v>0</v>
      </c>
      <c r="I10" s="478">
        <f>transport!I54</f>
        <v>0</v>
      </c>
      <c r="J10" s="478">
        <f>transport!J54</f>
        <v>0</v>
      </c>
      <c r="K10" s="478">
        <f>transport!K54</f>
        <v>0</v>
      </c>
      <c r="L10" s="478">
        <f>transport!L54</f>
        <v>0</v>
      </c>
      <c r="M10" s="478">
        <f>transport!M54</f>
        <v>28.194013023350077</v>
      </c>
      <c r="N10" s="478">
        <f>transport!N54</f>
        <v>0</v>
      </c>
      <c r="O10" s="478">
        <f>transport!O54</f>
        <v>0</v>
      </c>
      <c r="P10" s="479">
        <f>transport!P54</f>
        <v>0</v>
      </c>
      <c r="Q10" s="477">
        <f t="shared" si="0"/>
        <v>937.15747337545668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23143.391208992074</v>
      </c>
      <c r="C14" s="488">
        <f t="shared" ref="C14:Q14" ca="1" si="1">SUM(C4:C13)</f>
        <v>124.71428571428569</v>
      </c>
      <c r="D14" s="488">
        <f t="shared" ca="1" si="1"/>
        <v>59346.52807006464</v>
      </c>
      <c r="E14" s="488">
        <f t="shared" si="1"/>
        <v>398.39323392057679</v>
      </c>
      <c r="F14" s="488">
        <f t="shared" ca="1" si="1"/>
        <v>5402.2735864316828</v>
      </c>
      <c r="G14" s="488">
        <f t="shared" si="1"/>
        <v>10604.02744398317</v>
      </c>
      <c r="H14" s="488">
        <f t="shared" si="1"/>
        <v>2555.5501671440948</v>
      </c>
      <c r="I14" s="488">
        <f t="shared" si="1"/>
        <v>0</v>
      </c>
      <c r="J14" s="488">
        <f t="shared" si="1"/>
        <v>34.898253494603615</v>
      </c>
      <c r="K14" s="488">
        <f t="shared" si="1"/>
        <v>0</v>
      </c>
      <c r="L14" s="488">
        <f t="shared" ca="1" si="1"/>
        <v>0</v>
      </c>
      <c r="M14" s="488">
        <f t="shared" si="1"/>
        <v>410.2259016059333</v>
      </c>
      <c r="N14" s="488">
        <f t="shared" ca="1" si="1"/>
        <v>2186.3932512995807</v>
      </c>
      <c r="O14" s="488">
        <f t="shared" si="1"/>
        <v>96.926666666666662</v>
      </c>
      <c r="P14" s="489">
        <f t="shared" si="1"/>
        <v>1334.6666666666667</v>
      </c>
      <c r="Q14" s="489">
        <f t="shared" ca="1" si="1"/>
        <v>105637.98873598395</v>
      </c>
    </row>
    <row r="16" spans="1:17">
      <c r="A16" s="491" t="s">
        <v>559</v>
      </c>
      <c r="B16" s="841">
        <f ca="1">huishoudens!B10</f>
        <v>0.20985607607861678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2941.606505816254</v>
      </c>
      <c r="C21" s="478">
        <f t="shared" ref="C21:C30" ca="1" si="3">C4*$C$16</f>
        <v>0</v>
      </c>
      <c r="D21" s="478">
        <f t="shared" ref="D21:D30" si="4">D4*$D$16</f>
        <v>9085.6684679541013</v>
      </c>
      <c r="E21" s="478">
        <f t="shared" ref="E21:E30" si="5">E4*$E$16</f>
        <v>40.31879631810542</v>
      </c>
      <c r="F21" s="478">
        <f t="shared" ref="F21:F30" si="6">F4*$F$16</f>
        <v>655.78493513045157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12723.378705218915</v>
      </c>
    </row>
    <row r="22" spans="1:17">
      <c r="A22" s="477" t="s">
        <v>156</v>
      </c>
      <c r="B22" s="478">
        <f t="shared" ca="1" si="2"/>
        <v>1543.6683439115225</v>
      </c>
      <c r="C22" s="478">
        <f t="shared" ca="1" si="3"/>
        <v>0</v>
      </c>
      <c r="D22" s="478">
        <f t="shared" ca="1" si="4"/>
        <v>2303.0484321487538</v>
      </c>
      <c r="E22" s="478">
        <f t="shared" si="5"/>
        <v>28.648130526027444</v>
      </c>
      <c r="F22" s="478">
        <f t="shared" ca="1" si="6"/>
        <v>490.26375652965754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4365.628663115961</v>
      </c>
    </row>
    <row r="23" spans="1:17">
      <c r="A23" s="477" t="s">
        <v>194</v>
      </c>
      <c r="B23" s="478">
        <f t="shared" ca="1" si="2"/>
        <v>129.50512253317953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129.50512253317953</v>
      </c>
    </row>
    <row r="24" spans="1:17">
      <c r="A24" s="477" t="s">
        <v>112</v>
      </c>
      <c r="B24" s="478">
        <f t="shared" ca="1" si="2"/>
        <v>48.331799808237363</v>
      </c>
      <c r="C24" s="478">
        <f t="shared" ca="1" si="3"/>
        <v>0</v>
      </c>
      <c r="D24" s="478">
        <f t="shared" si="4"/>
        <v>297.80646196097035</v>
      </c>
      <c r="E24" s="478">
        <f t="shared" si="5"/>
        <v>1.3481057392514499</v>
      </c>
      <c r="F24" s="478">
        <f t="shared" si="6"/>
        <v>224.76707321107082</v>
      </c>
      <c r="G24" s="478">
        <f t="shared" si="7"/>
        <v>0</v>
      </c>
      <c r="H24" s="478">
        <f t="shared" si="8"/>
        <v>0</v>
      </c>
      <c r="I24" s="478">
        <f t="shared" si="9"/>
        <v>0</v>
      </c>
      <c r="J24" s="478">
        <f t="shared" si="10"/>
        <v>11.737246179947249</v>
      </c>
      <c r="K24" s="478">
        <f t="shared" si="11"/>
        <v>0</v>
      </c>
      <c r="L24" s="478">
        <f t="shared" si="12"/>
        <v>0</v>
      </c>
      <c r="M24" s="478">
        <f t="shared" si="13"/>
        <v>0</v>
      </c>
      <c r="N24" s="478">
        <f t="shared" si="14"/>
        <v>0</v>
      </c>
      <c r="O24" s="478">
        <f t="shared" si="15"/>
        <v>0</v>
      </c>
      <c r="P24" s="479">
        <f t="shared" si="16"/>
        <v>0</v>
      </c>
      <c r="Q24" s="477">
        <f t="shared" ca="1" si="17"/>
        <v>583.99068689947717</v>
      </c>
    </row>
    <row r="25" spans="1:17">
      <c r="A25" s="477" t="s">
        <v>638</v>
      </c>
      <c r="B25" s="478">
        <f t="shared" ca="1" si="2"/>
        <v>192.79842825820594</v>
      </c>
      <c r="C25" s="478">
        <f t="shared" ca="1" si="3"/>
        <v>0</v>
      </c>
      <c r="D25" s="478">
        <f t="shared" si="4"/>
        <v>299.55078961109808</v>
      </c>
      <c r="E25" s="478">
        <f t="shared" si="5"/>
        <v>11.806679579616643</v>
      </c>
      <c r="F25" s="478">
        <f t="shared" si="6"/>
        <v>71.591282706079397</v>
      </c>
      <c r="G25" s="478">
        <f t="shared" si="7"/>
        <v>0</v>
      </c>
      <c r="H25" s="478">
        <f t="shared" si="8"/>
        <v>0</v>
      </c>
      <c r="I25" s="478">
        <f t="shared" si="9"/>
        <v>0</v>
      </c>
      <c r="J25" s="478">
        <f t="shared" si="10"/>
        <v>0.61673555714242956</v>
      </c>
      <c r="K25" s="478">
        <f t="shared" si="11"/>
        <v>0</v>
      </c>
      <c r="L25" s="478">
        <f t="shared" si="12"/>
        <v>0</v>
      </c>
      <c r="M25" s="478">
        <f t="shared" si="13"/>
        <v>0</v>
      </c>
      <c r="N25" s="478">
        <f t="shared" si="14"/>
        <v>0</v>
      </c>
      <c r="O25" s="478">
        <f t="shared" si="15"/>
        <v>0</v>
      </c>
      <c r="P25" s="479">
        <f t="shared" si="16"/>
        <v>0</v>
      </c>
      <c r="Q25" s="477">
        <f t="shared" ca="1" si="17"/>
        <v>576.36391571214244</v>
      </c>
    </row>
    <row r="26" spans="1:17" s="483" customFormat="1">
      <c r="A26" s="481" t="s">
        <v>564</v>
      </c>
      <c r="B26" s="835">
        <f t="shared" ca="1" si="2"/>
        <v>0.87106594403181981</v>
      </c>
      <c r="C26" s="482">
        <f t="shared" ca="1" si="3"/>
        <v>0</v>
      </c>
      <c r="D26" s="482">
        <f t="shared" si="4"/>
        <v>1.924518478134126</v>
      </c>
      <c r="E26" s="482">
        <f t="shared" si="5"/>
        <v>8.313551936969974</v>
      </c>
      <c r="F26" s="482">
        <f t="shared" si="6"/>
        <v>0</v>
      </c>
      <c r="G26" s="482">
        <f t="shared" si="7"/>
        <v>2588.5820836294943</v>
      </c>
      <c r="H26" s="482">
        <f t="shared" si="8"/>
        <v>636.33199161887956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3236.0232116075094</v>
      </c>
    </row>
    <row r="27" spans="1:17">
      <c r="A27" s="477" t="s">
        <v>554</v>
      </c>
      <c r="B27" s="478">
        <f t="shared" ca="1" si="2"/>
        <v>0</v>
      </c>
      <c r="C27" s="478">
        <f t="shared" ca="1" si="3"/>
        <v>0</v>
      </c>
      <c r="D27" s="478">
        <f t="shared" si="4"/>
        <v>0</v>
      </c>
      <c r="E27" s="478">
        <f t="shared" si="5"/>
        <v>0</v>
      </c>
      <c r="F27" s="478">
        <f t="shared" si="6"/>
        <v>0</v>
      </c>
      <c r="G27" s="478">
        <f t="shared" si="7"/>
        <v>242.69324391401247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242.69324391401247</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4856.7812662714314</v>
      </c>
      <c r="C31" s="488">
        <f t="shared" ca="1" si="18"/>
        <v>0</v>
      </c>
      <c r="D31" s="488">
        <f t="shared" ca="1" si="18"/>
        <v>11987.998670153058</v>
      </c>
      <c r="E31" s="488">
        <f t="shared" si="18"/>
        <v>90.435264099970937</v>
      </c>
      <c r="F31" s="488">
        <f t="shared" ca="1" si="18"/>
        <v>1442.4070475772594</v>
      </c>
      <c r="G31" s="488">
        <f t="shared" si="18"/>
        <v>2831.2753275435066</v>
      </c>
      <c r="H31" s="488">
        <f t="shared" si="18"/>
        <v>636.33199161887956</v>
      </c>
      <c r="I31" s="488">
        <f t="shared" si="18"/>
        <v>0</v>
      </c>
      <c r="J31" s="488">
        <f t="shared" si="18"/>
        <v>12.353981737089679</v>
      </c>
      <c r="K31" s="488">
        <f t="shared" si="18"/>
        <v>0</v>
      </c>
      <c r="L31" s="488">
        <f t="shared" ca="1" si="18"/>
        <v>0</v>
      </c>
      <c r="M31" s="488">
        <f t="shared" si="18"/>
        <v>0</v>
      </c>
      <c r="N31" s="488">
        <f t="shared" ca="1" si="18"/>
        <v>0</v>
      </c>
      <c r="O31" s="488">
        <f t="shared" si="18"/>
        <v>0</v>
      </c>
      <c r="P31" s="489">
        <f t="shared" si="18"/>
        <v>0</v>
      </c>
      <c r="Q31" s="489">
        <f t="shared" ca="1" si="18"/>
        <v>21857.583549001196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0.20985607607861678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0.20985607607861678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0.20985607607861678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2018-06-27T09:40:17Z</dcterms:modified>
</cp:coreProperties>
</file>