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N16"/>
  <c r="L16"/>
  <c r="L18" s="1"/>
  <c r="M13" i="14" s="1"/>
  <c r="L6" i="17"/>
  <c r="L5" s="1"/>
  <c r="B8" i="9"/>
  <c r="C16" i="15"/>
  <c r="D10" i="14" s="1"/>
  <c r="I8" i="18"/>
  <c r="J68" i="14" s="1"/>
  <c r="I14" i="15"/>
  <c r="I16" s="1"/>
  <c r="J10" i="14" s="1"/>
  <c r="B13" i="16"/>
  <c r="C35"/>
  <c r="E9" i="14"/>
  <c r="D14" i="15"/>
  <c r="P22" i="16"/>
  <c r="Q39" i="14" s="1"/>
  <c r="P18" i="16"/>
  <c r="N6" i="17"/>
  <c r="N5" s="1"/>
  <c r="J8"/>
  <c r="K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15" i="14" l="1"/>
  <c r="J23" s="1"/>
  <c r="I20" i="15"/>
  <c r="J36" i="14" s="1"/>
  <c r="J41" s="1"/>
  <c r="J53" s="1"/>
  <c r="J7" i="48"/>
  <c r="J24" s="1"/>
  <c r="I5"/>
  <c r="I22" s="1"/>
  <c r="I31" s="1"/>
  <c r="L22" i="16"/>
  <c r="M39"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C5" i="48"/>
  <c r="E13" i="14" l="1"/>
  <c r="N7" i="48"/>
  <c r="N24" s="1"/>
  <c r="I14"/>
  <c r="E7"/>
  <c r="E24" s="1"/>
  <c r="E12" i="17"/>
  <c r="F48" i="14" s="1"/>
  <c r="P41"/>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N20" s="1"/>
  <c r="N23" s="1"/>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19" s="1"/>
  <c r="C19" s="1"/>
  <c r="D35" i="14" s="1"/>
  <c r="F10"/>
  <c r="J9" i="18"/>
  <c r="M7"/>
  <c r="M9" s="1"/>
  <c r="L31" i="48"/>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29" i="20"/>
  <c r="Q5" i="48"/>
  <c r="O13" i="14"/>
  <c r="O15" s="1"/>
  <c r="Q4" i="48"/>
  <c r="N22"/>
  <c r="R11" i="14"/>
  <c r="J21" i="48"/>
  <c r="R10" i="14"/>
  <c r="C17" i="49" l="1"/>
  <c r="C56" i="22"/>
  <c r="C58" s="1"/>
  <c r="D44" i="14" s="1"/>
  <c r="D46" s="1"/>
  <c r="C10" i="17"/>
  <c r="C12" s="1"/>
  <c r="D48" i="14" s="1"/>
  <c r="C16" i="22"/>
  <c r="C10" i="13"/>
  <c r="C16" i="48" s="1"/>
  <c r="C30" s="1"/>
  <c r="F22" i="16"/>
  <c r="G39" i="14" s="1"/>
  <c r="G41" s="1"/>
  <c r="C18" i="15"/>
  <c r="C20" s="1"/>
  <c r="D36" i="14" s="1"/>
  <c r="N22" i="16"/>
  <c r="O39" i="14" s="1"/>
  <c r="O41" s="1"/>
  <c r="C20" i="16"/>
  <c r="C22" s="1"/>
  <c r="D39" i="14" s="1"/>
  <c r="F8" i="48"/>
  <c r="Q8" s="1"/>
  <c r="Q14" s="1"/>
  <c r="N25"/>
  <c r="N31" s="1"/>
  <c r="N14"/>
  <c r="E25"/>
  <c r="E31" s="1"/>
  <c r="E14"/>
  <c r="K13" i="14"/>
  <c r="K15" s="1"/>
  <c r="K23" s="1"/>
  <c r="K55" s="1"/>
  <c r="H55"/>
  <c r="E55"/>
  <c r="C78"/>
  <c r="C81" s="1"/>
  <c r="J14" i="48"/>
  <c r="J31"/>
  <c r="R19" i="14"/>
  <c r="R20" s="1"/>
  <c r="H14" i="48"/>
  <c r="G31"/>
  <c r="H26"/>
  <c r="H31" s="1"/>
  <c r="F55" i="14"/>
  <c r="O53"/>
  <c r="G53"/>
  <c r="G55" s="1"/>
  <c r="O69" s="1"/>
  <c r="B9" i="6" s="1"/>
  <c r="B12" s="1"/>
  <c r="M53" i="14"/>
  <c r="M55" s="1"/>
  <c r="C27" i="48"/>
  <c r="C28"/>
  <c r="C22"/>
  <c r="C25"/>
  <c r="C29"/>
  <c r="R13" i="14"/>
  <c r="R15" s="1"/>
  <c r="F25" i="48"/>
  <c r="F31" s="1"/>
  <c r="F14" l="1"/>
  <c r="C21"/>
  <c r="C31" s="1"/>
  <c r="C12" i="13"/>
  <c r="D37" i="14" s="1"/>
  <c r="D41" s="1"/>
  <c r="C26" i="48"/>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<sst xmlns="http://schemas.openxmlformats.org/spreadsheetml/2006/main" count="1933" uniqueCount="824">
  <si>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</si>
  <si>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</si>
  <si>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</si>
  <si>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</si>
  <si>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</si>
  <si>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</si>
  <si>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</si>
  <si>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</si>
  <si>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</si>
  <si>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</si>
  <si>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</si>
  <si>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</si>
  <si>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</si>
  <si>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</si>
  <si>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</si>
  <si>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</si>
  <si>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</si>
  <si>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</si>
  <si>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</si>
  <si>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</si>
  <si>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</si>
  <si>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</si>
  <si>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</si>
  <si>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</si>
  <si>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</si>
  <si>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</si>
  <si>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</si>
  <si>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</si>
  <si>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</si>
  <si>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</si>
  <si>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</si>
  <si>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</si>
  <si>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</si>
  <si>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</si>
  <si>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</si>
  <si>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</si>
  <si>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</si>
  <si>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</si>
  <si>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</si>
  <si>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</si>
  <si>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</si>
  <si>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</si>
  <si>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</si>
  <si>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</si>
  <si>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</si>
  <si>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</si>
  <si>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</si>
  <si>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</si>
  <si>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</si>
  <si>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</si>
  <si>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</si>
  <si>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</si>
  <si>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</si>
  <si>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</si>
  <si>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</si>
  <si>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</si>
  <si>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</si>
  <si>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</si>
  <si>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</si>
  <si>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</si>
  <si>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</si>
  <si>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</si>
  <si>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</si>
  <si>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</si>
  <si>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</si>
  <si>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</si>
  <si>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</si>
  <si>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</si>
  <si>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</si>
  <si>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</si>
  <si>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</si>
  <si>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</si>
  <si>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</si>
  <si>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</si>
  <si>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</si>
  <si>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</si>
  <si>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</si>
  <si>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</si>
  <si>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</si>
  <si>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</si>
  <si>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</si>
  <si>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</si>
  <si>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</si>
  <si>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</si>
  <si>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</si>
  <si>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</si>
  <si>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</si>
  <si>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</si>
  <si>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</si>
  <si>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</si>
  <si>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</si>
  <si>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</si>
  <si>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</si>
  <si>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</si>
  <si>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</si>
  <si>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</si>
  <si>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</si>
  <si>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</si>
  <si>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</si>
  <si>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</si>
  <si>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</si>
  <si>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</si>
  <si>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</si>
  <si>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</si>
  <si>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</si>
  <si>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</si>
  <si>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</si>
  <si>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</si>
  <si>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</si>
  <si>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</si>
  <si>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</si>
  <si>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</si>
  <si>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</si>
  <si>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</si>
  <si>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</si>
  <si>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</si>
  <si>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</si>
  <si>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</si>
  <si>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</si>
  <si>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</si>
  <si>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</si>
  <si>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</si>
  <si>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</si>
  <si>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</si>
  <si>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</si>
  <si>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</si>
  <si>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</si>
  <si>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</si>
  <si>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</si>
  <si>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</si>
  <si>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</si>
  <si>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</si>
  <si>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</si>
  <si>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</si>
  <si>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</si>
  <si>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</si>
  <si>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</si>
  <si>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</si>
  <si>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</si>
  <si>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</si>
  <si>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</si>
  <si>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</si>
  <si>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</si>
  <si>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</si>
  <si>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</si>
  <si>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</si>
  <si>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</si>
  <si>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</si>
  <si>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</si>
  <si>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</si>
  <si>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</si>
  <si>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</si>
  <si>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</si>
  <si>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</si>
  <si>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</si>
  <si>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</si>
  <si>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</si>
  <si>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</si>
  <si>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</si>
  <si>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</si>
  <si>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</si>
  <si>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</si>
  <si>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</si>
  <si>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</si>
  <si>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</si>
  <si>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</si>
  <si>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</si>
  <si>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</si>
  <si>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</si>
  <si>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</si>
  <si>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</si>
  <si>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</si>
  <si>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</si>
  <si>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</si>
  <si>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</si>
  <si>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</si>
  <si>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</si>
  <si>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</si>
  <si>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</si>
  <si>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</si>
  <si>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</si>
  <si>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</si>
  <si>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</si>
  <si>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</si>
  <si>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</si>
  <si>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</si>
  <si>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</si>
  <si>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</si>
  <si>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</si>
  <si>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</si>
  <si>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</si>
  <si>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</si>
  <si>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</si>
  <si>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</si>
  <si>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</si>
  <si>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</si>
  <si>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</si>
  <si>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</si>
  <si>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</si>
  <si>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</si>
  <si>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</si>
  <si>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</si>
  <si>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</si>
  <si>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</si>
  <si>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</si>
  <si>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</si>
  <si>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</si>
  <si>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</si>
  <si>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</si>
  <si>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</si>
  <si>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</si>
  <si>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</si>
  <si>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</si>
  <si>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</si>
  <si>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</si>
  <si>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</si>
  <si>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</si>
  <si>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</si>
  <si>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</si>
  <si>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</si>
  <si>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</si>
  <si>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</si>
  <si>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</si>
  <si>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</si>
  <si>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</si>
  <si>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</si>
  <si>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</si>
  <si>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</si>
  <si>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</si>
  <si>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</si>
  <si>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</si>
  <si>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</si>
  <si>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</si>
  <si>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</si>
  <si>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</si>
  <si>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</si>
  <si>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</si>
  <si>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</si>
  <si>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</si>
  <si>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</si>
  <si>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</si>
  <si>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</si>
  <si>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</si>
  <si>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</si>
  <si>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</si>
  <si>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</si>
  <si>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</si>
  <si>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</si>
  <si>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</si>
  <si>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</si>
  <si>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</si>
  <si>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</si>
  <si>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</si>
  <si>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</si>
  <si>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</si>
  <si>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</si>
  <si>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</si>
  <si>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</si>
  <si>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</si>
  <si>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</si>
  <si>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</si>
  <si>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</si>
  <si>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</si>
  <si>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</si>
  <si>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</si>
  <si>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</si>
  <si>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</si>
  <si>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</si>
  <si>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</si>
  <si>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</si>
  <si>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</si>
  <si>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</si>
  <si>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</si>
  <si>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</si>
  <si>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</si>
  <si>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</si>
  <si>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</si>
  <si>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</si>
  <si>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</si>
  <si>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</si>
  <si>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</si>
  <si>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</si>
  <si>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</si>
  <si>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</si>
  <si>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</si>
  <si>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</si>
  <si>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</si>
  <si>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</si>
  <si>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</si>
  <si>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</si>
  <si>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</si>
  <si>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</si>
  <si>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</si>
  <si>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</si>
  <si>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</si>
  <si>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</si>
  <si>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</si>
  <si>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</si>
  <si>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</si>
  <si>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</si>
  <si>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</si>
  <si>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</si>
  <si>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</si>
  <si>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</si>
  <si>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</si>
  <si>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</si>
  <si>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</si>
  <si>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</si>
  <si>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</si>
  <si>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</si>
  <si>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</si>
  <si>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</si>
  <si>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</si>
  <si>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</si>
  <si>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</si>
  <si>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</si>
  <si>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</si>
  <si>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</si>
  <si>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</si>
  <si>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</si>
  <si>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</si>
  <si>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</si>
  <si>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</si>
  <si>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</si>
  <si>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</si>
  <si>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</si>
  <si>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</si>
  <si>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</si>
  <si>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</si>
  <si>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</si>
  <si>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</si>
  <si>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</si>
  <si>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</si>
  <si>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</si>
  <si>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</si>
  <si>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</si>
  <si>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</si>
  <si>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</si>
  <si>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</si>
  <si>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</si>
  <si>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</si>
  <si>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</si>
  <si>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</si>
  <si>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</si>
  <si>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</si>
  <si>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</si>
  <si>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</si>
  <si>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</si>
  <si>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</si>
  <si>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</si>
  <si>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</si>
  <si>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</si>
  <si>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</si>
  <si>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</si>
  <si>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</si>
  <si>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</si>
  <si>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</si>
  <si>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</si>
  <si>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</si>
  <si>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</si>
  <si>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</si>
  <si>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</si>
  <si>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</si>
  <si>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</si>
  <si>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</si>
  <si>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</si>
  <si>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</si>
  <si>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</si>
  <si>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</si>
  <si>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</si>
  <si>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</si>
  <si>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</si>
  <si>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</si>
  <si>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</si>
  <si>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</si>
  <si>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</si>
  <si>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</si>
  <si>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</si>
  <si>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</si>
  <si>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</si>
  <si>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</si>
  <si>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</si>
  <si>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</si>
  <si>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</si>
  <si>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</si>
  <si>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</si>
  <si>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</si>
  <si>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</si>
  <si>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</si>
  <si>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</si>
  <si>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</si>
  <si>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</si>
  <si>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</si>
  <si>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</si>
  <si>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</si>
  <si>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</si>
  <si>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</si>
  <si>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</si>
  <si>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</si>
  <si>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</si>
  <si>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</si>
  <si>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</si>
  <si>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</si>
  <si>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</si>
  <si>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</si>
  <si>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</si>
  <si>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</si>
  <si>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</si>
  <si>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</si>
  <si>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</si>
  <si>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</si>
  <si>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</si>
  <si>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</si>
  <si>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</si>
  <si>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</si>
  <si>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</si>
  <si>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</si>
  <si>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</si>
  <si>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</si>
  <si>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</si>
  <si>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</si>
  <si>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</si>
  <si>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</si>
  <si>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</si>
  <si>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</si>
  <si>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</si>
  <si>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</si>
  <si>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</si>
  <si>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</si>
  <si>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</si>
  <si>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</si>
  <si>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</si>
  <si>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</si>
  <si>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</si>
  <si>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</si>
  <si>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</si>
  <si>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</si>
  <si>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</si>
  <si>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</si>
  <si>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</si>
  <si>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</si>
  <si>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</si>
  <si>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</si>
  <si>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</si>
  <si>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</si>
  <si>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</si>
  <si>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</si>
  <si>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</si>
  <si>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</si>
  <si>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</si>
  <si>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</si>
  <si>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</si>
  <si>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</si>
  <si>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</si>
  <si>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</si>
  <si>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</si>
  <si>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</si>
  <si>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</si>
  <si>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</si>
  <si>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</si>
  <si>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</si>
  <si>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</si>
  <si>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</si>
  <si>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</si>
  <si>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</si>
  <si>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</si>
  <si>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</si>
  <si>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</si>
  <si>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</si>
  <si>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</si>
  <si>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</si>
  <si>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</si>
  <si>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</si>
  <si>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</si>
  <si>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</si>
  <si>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</si>
  <si>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</si>
  <si>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</si>
  <si>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</si>
  <si>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</si>
  <si>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</si>
  <si>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</si>
  <si>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</si>
  <si>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</si>
  <si>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</si>
  <si>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</si>
  <si>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</si>
  <si>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</si>
  <si>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</si>
  <si>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</si>
  <si>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</si>
  <si>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</si>
  <si>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</si>
  <si>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</si>
  <si>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</si>
  <si>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</si>
  <si>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</si>
  <si>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</si>
  <si>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</si>
  <si>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</si>
  <si>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</si>
  <si>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</si>
  <si>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</si>
  <si>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</si>
  <si>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</si>
  <si>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</si>
  <si>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</si>
  <si>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</si>
  <si>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</si>
  <si>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</si>
  <si>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</si>
  <si>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</si>
  <si>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</si>
  <si>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</si>
  <si>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</si>
  <si>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</si>
  <si>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</si>
  <si>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</si>
  <si>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</si>
  <si>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</si>
  <si>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</si>
  <si>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</si>
  <si>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</si>
  <si>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</si>
  <si>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</si>
  <si>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</si>
  <si>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</si>
  <si>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</si>
  <si>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</si>
  <si>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</si>
  <si>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</si>
  <si>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</si>
  <si>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</si>
  <si>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</si>
  <si>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</si>
  <si>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</si>
  <si>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</si>
  <si>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</si>
  <si>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</si>
  <si>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</si>
  <si>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</si>
  <si>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</si>
  <si>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</si>
  <si>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</si>
  <si>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</si>
  <si>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</si>
  <si>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</si>
  <si>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</si>
  <si>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</si>
  <si>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</si>
  <si>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</si>
  <si>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</si>
  <si>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</si>
  <si>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</si>
  <si>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</si>
  <si>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</si>
  <si>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</si>
  <si>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</si>
  <si>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</si>
  <si>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</si>
  <si>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</si>
  <si>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</si>
  <si>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</si>
  <si>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</si>
  <si>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</si>
  <si>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</si>
  <si>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</si>
  <si>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</si>
  <si>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</si>
  <si>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</si>
  <si>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</si>
  <si>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</si>
  <si>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</si>
  <si>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</si>
  <si>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</si>
  <si>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</si>
  <si>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</si>
  <si>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</si>
  <si>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</si>
  <si>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</si>
  <si>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</si>
  <si>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</si>
  <si>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</si>
  <si>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</si>
  <si>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</si>
  <si>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</si>
  <si>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</si>
  <si>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</si>
  <si>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</si>
  <si>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</si>
  <si>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</si>
  <si>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</si>
  <si>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</si>
  <si>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</si>
  <si>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</si>
  <si>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</si>
  <si>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</si>
  <si>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</si>
  <si>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</si>
  <si>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</si>
  <si>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</si>
  <si>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</si>
  <si>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</si>
  <si>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</si>
  <si>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</si>
  <si>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</si>
  <si>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</si>
  <si>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</si>
  <si>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</si>
  <si>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</si>
  <si>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</si>
  <si>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</si>
  <si>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</si>
  <si>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</si>
  <si>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</si>
  <si>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</si>
  <si>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</si>
  <si>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</si>
  <si>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</si>
  <si>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</si>
  <si>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</si>
  <si>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</si>
  <si>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</si>
  <si>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</si>
  <si>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</si>
  <si>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</si>
  <si>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</si>
  <si>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</si>
  <si>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</si>
  <si>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</si>
  <si>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</si>
  <si>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</si>
  <si>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</si>
  <si>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</si>
  <si>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</si>
  <si>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</si>
  <si>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</si>
  <si>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</si>
  <si>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</si>
  <si>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</si>
  <si>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</si>
  <si>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</si>
  <si>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</si>
  <si>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</si>
  <si>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</si>
  <si>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</si>
  <si>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</si>
  <si>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</si>
  <si>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</si>
  <si>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</si>
  <si>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</si>
  <si>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</si>
  <si>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</si>
  <si>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</si>
  <si>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</si>
  <si>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</si>
  <si>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</si>
  <si>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</si>
  <si>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</si>
  <si>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</si>
  <si>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</si>
  <si>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</si>
  <si>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</si>
  <si>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</si>
  <si>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</si>
  <si>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</si>
  <si>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</si>
  <si>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</si>
  <si>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</si>
  <si>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</si>
  <si>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</si>
  <si>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</si>
  <si>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</si>
  <si>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</si>
  <si>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</si>
  <si>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</si>
  <si>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</si>
  <si>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</si>
  <si>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</si>
  <si>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</si>
  <si>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</si>
  <si>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</si>
  <si>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</si>
  <si>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</si>
  <si>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</si>
  <si>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</si>
  <si>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</si>
  <si>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</si>
  <si>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</si>
  <si>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</si>
  <si>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</si>
  <si>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</si>
  <si>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</si>
  <si>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</si>
  <si>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</si>
  <si>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</si>
  <si>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</si>
  <si>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</si>
  <si>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</si>
  <si>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</si>
  <si>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</si>
  <si>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</si>
  <si>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</si>
  <si>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</si>
  <si>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</si>
  <si>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</si>
  <si>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</si>
  <si>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</si>
  <si>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</si>
  <si>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</si>
  <si>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</si>
  <si>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</si>
  <si>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</si>
  <si>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</si>
  <si>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</si>
  <si>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</si>
  <si>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</si>
  <si>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</si>
  <si>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</si>
  <si>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</si>
  <si>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</si>
  <si>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</si>
  <si>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</si>
  <si>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</si>
  <si>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</si>
  <si>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</si>
  <si>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</si>
  <si>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</si>
  <si>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</si>
  <si>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</si>
  <si>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</si>
  <si>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</si>
  <si>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</si>
  <si>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</si>
  <si>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</si>
  <si>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</si>
  <si>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</si>
  <si>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</si>
  <si>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</si>
  <si>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</si>
  <si>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</si>
  <si>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</si>
  <si>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</si>
  <si>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</si>
  <si>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</si>
  <si>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</si>
  <si>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</si>
  <si>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</si>
  <si>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</si>
  <si>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</si>
  <si>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</si>
  <si>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</si>
  <si>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</si>
  <si>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</si>
  <si>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</si>
  <si>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</si>
  <si>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</si>
  <si>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</si>
  <si>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</si>
  <si>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</si>
  <si>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</si>
  <si>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</si>
  <si>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</si>
  <si>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</si>
  <si>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</si>
  <si>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</si>
  <si>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</si>
  <si>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</si>
  <si>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</si>
  <si>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</si>
  <si>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</si>
  <si>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</si>
  <si>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</si>
  <si>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</si>
  <si>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</si>
  <si>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</si>
  <si>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</si>
  <si>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</si>
  <si>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</si>
  <si>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</si>
  <si>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</si>
  <si>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</si>
  <si>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</si>
  <si>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</si>
  <si>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</si>
  <si>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</si>
  <si>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</si>
  <si>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</si>
  <si>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</si>
  <si>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</si>
  <si>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</si>
  <si>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</si>
  <si>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</si>
  <si>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</si>
  <si>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</si>
  <si>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</si>
  <si>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</si>
  <si>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</si>
  <si>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</si>
  <si>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</si>
  <si>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</si>
  <si>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</si>
  <si>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</si>
  <si>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</si>
  <si>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</si>
  <si>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</si>
  <si>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</si>
  <si>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</si>
  <si>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</si>
  <si>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</si>
  <si>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11013</t>
  </si>
  <si>
    <t>EDEGEM</t>
  </si>
  <si>
    <t>Paarden&amp;pony's 200 - 600 kg</t>
  </si>
  <si>
    <t>Paarden&amp;pony's &lt; 200 kg</t>
  </si>
  <si>
    <t>referentietaak LNE (2017); Jaarverslag De Lijn (2015)</t>
  </si>
  <si>
    <t>op basis van VEA (maart 2018) en Inventaris Hernieuwbare Energiebronnen (juni 2018)</t>
  </si>
  <si>
    <t>VEA (januari 2017)</t>
  </si>
  <si>
    <t>VEA (juni 2018)</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</si>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</sst>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153462.5347934984</c:v>
                </c:pt>
                <c:pt idx="1">
                  <c:v>109119.35210338772</c:v>
                </c:pt>
                <c:pt idx="2">
                  <c:v>879.74300000000005</c:v>
                </c:pt>
                <c:pt idx="3">
                  <c:v>6842.3172058744531</c:v>
                </c:pt>
                <c:pt idx="4">
                  <c:v>27910.422959538595</c:v>
                </c:pt>
                <c:pt idx="5">
                  <c:v>121351.94845534409</c:v>
                </c:pt>
                <c:pt idx="6">
                  <c:v>2795.9890080627338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280"/>
        <c:axId val="183010816"/>
      </c:barChart>
      <c:catAx>
        <c:axId val="183009280"/>
        <c:scaling>
          <c:orientation val="minMax"/>
        </c:scaling>
        <c:axPos val="b"/>
        <c:numFmt formatCode="General" sourceLinked="0"/>
        <c:tickLblPos val="nextTo"/>
        <c:crossAx val="183010816"/>
        <c:crosses val="autoZero"/>
        <c:auto val="1"/>
        <c:lblAlgn val="ctr"/>
        <c:lblOffset val="100"/>
      </c:catAx>
      <c:valAx>
        <c:axId val="183010816"/>
        <c:scaling>
          <c:orientation val="minMax"/>
        </c:scaling>
        <c:axPos val="l"/>
        <c:majorGridlines/>
        <c:numFmt formatCode="#,##0" sourceLinked="1"/>
        <c:tickLblPos val="nextTo"/>
        <c:crossAx val="18300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153462.5347934984</c:v>
                </c:pt>
                <c:pt idx="1">
                  <c:v>109119.35210338772</c:v>
                </c:pt>
                <c:pt idx="2">
                  <c:v>879.74300000000005</c:v>
                </c:pt>
                <c:pt idx="3">
                  <c:v>6842.3172058744531</c:v>
                </c:pt>
                <c:pt idx="4">
                  <c:v>27910.422959538595</c:v>
                </c:pt>
                <c:pt idx="5">
                  <c:v>121351.94845534409</c:v>
                </c:pt>
                <c:pt idx="6">
                  <c:v>2795.9890080627338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31824.042118482193</c:v>
                </c:pt>
                <c:pt idx="1">
                  <c:v>23223.390020367653</c:v>
                </c:pt>
                <c:pt idx="2">
                  <c:v>192.12890397790051</c:v>
                </c:pt>
                <c:pt idx="3">
                  <c:v>1513.3537017352558</c:v>
                </c:pt>
                <c:pt idx="4">
                  <c:v>5547.0853143045588</c:v>
                </c:pt>
                <c:pt idx="5">
                  <c:v>31040.88502566918</c:v>
                </c:pt>
                <c:pt idx="6">
                  <c:v>724.07003261746377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1568"/>
        <c:axId val="183562624"/>
      </c:barChart>
      <c:catAx>
        <c:axId val="183421568"/>
        <c:scaling>
          <c:orientation val="minMax"/>
        </c:scaling>
        <c:axPos val="b"/>
        <c:numFmt formatCode="General" sourceLinked="0"/>
        <c:tickLblPos val="nextTo"/>
        <c:crossAx val="183562624"/>
        <c:crosses val="autoZero"/>
        <c:auto val="1"/>
        <c:lblAlgn val="ctr"/>
        <c:lblOffset val="100"/>
      </c:catAx>
      <c:valAx>
        <c:axId val="183562624"/>
        <c:scaling>
          <c:orientation val="minMax"/>
        </c:scaling>
        <c:axPos val="l"/>
        <c:majorGridlines/>
        <c:numFmt formatCode="#,##0" sourceLinked="1"/>
        <c:tickLblPos val="nextTo"/>
        <c:crossAx val="183421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31824.042118482193</c:v>
                </c:pt>
                <c:pt idx="1">
                  <c:v>23223.390020367653</c:v>
                </c:pt>
                <c:pt idx="2">
                  <c:v>192.12890397790051</c:v>
                </c:pt>
                <c:pt idx="3">
                  <c:v>1513.3537017352558</c:v>
                </c:pt>
                <c:pt idx="4">
                  <c:v>5547.0853143045588</c:v>
                </c:pt>
                <c:pt idx="5">
                  <c:v>31040.88502566918</c:v>
                </c:pt>
                <c:pt idx="6">
                  <c:v>724.07003261746377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11013</v>
      </c>
      <c r="B6" s="415"/>
      <c r="C6" s="416"/>
    </row>
    <row r="7" spans="1:7" s="413" customFormat="1" ht="15.75" customHeight="1">
      <c r="A7" s="417" t="str">
        <f>txtMunicipality</f>
        <v>EDEGEM</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43164.228863750002</v>
      </c>
      <c r="D10" s="718">
        <f ca="1">tertiair!C16</f>
        <v>10028.571428571429</v>
      </c>
      <c r="E10" s="718">
        <f ca="1">tertiair!D16</f>
        <v>46115.053755462752</v>
      </c>
      <c r="F10" s="718">
        <f>tertiair!E16</f>
        <v>374.27840289116898</v>
      </c>
      <c r="G10" s="718">
        <f ca="1">tertiair!F16</f>
        <v>8259.6652589176774</v>
      </c>
      <c r="H10" s="718">
        <f>tertiair!G16</f>
        <v>0</v>
      </c>
      <c r="I10" s="718">
        <f>tertiair!H16</f>
        <v>0</v>
      </c>
      <c r="J10" s="718">
        <f>tertiair!I16</f>
        <v>0</v>
      </c>
      <c r="K10" s="718">
        <f>tertiair!J16</f>
        <v>0</v>
      </c>
      <c r="L10" s="718">
        <f>tertiair!K16</f>
        <v>0</v>
      </c>
      <c r="M10" s="718">
        <f ca="1">tertiair!L16</f>
        <v>0</v>
      </c>
      <c r="N10" s="718">
        <f>tertiair!M16</f>
        <v>0</v>
      </c>
      <c r="O10" s="718">
        <f ca="1">tertiair!N16</f>
        <v>2052.6073937946749</v>
      </c>
      <c r="P10" s="718">
        <f>tertiair!O16</f>
        <v>4.6900000000000004</v>
      </c>
      <c r="Q10" s="719">
        <f>tertiair!P16</f>
        <v>0</v>
      </c>
      <c r="R10" s="721">
        <f ca="1">SUM(C10:Q10)</f>
        <v>109999.09510338771</v>
      </c>
      <c r="S10" s="67"/>
    </row>
    <row r="11" spans="1:19" s="474" customFormat="1">
      <c r="A11" s="870" t="s">
        <v>225</v>
      </c>
      <c r="B11" s="875"/>
      <c r="C11" s="718">
        <f>huishoudens!B8</f>
        <v>32430.93678345318</v>
      </c>
      <c r="D11" s="718">
        <f>huishoudens!C8</f>
        <v>0</v>
      </c>
      <c r="E11" s="718">
        <f>huishoudens!D8</f>
        <v>107703.55519647339</v>
      </c>
      <c r="F11" s="718">
        <f>huishoudens!E8</f>
        <v>232.40162902061539</v>
      </c>
      <c r="G11" s="718">
        <f>huishoudens!F8</f>
        <v>10983.179947174302</v>
      </c>
      <c r="H11" s="718">
        <f>huishoudens!G8</f>
        <v>0</v>
      </c>
      <c r="I11" s="718">
        <f>huishoudens!H8</f>
        <v>0</v>
      </c>
      <c r="J11" s="718">
        <f>huishoudens!I8</f>
        <v>0</v>
      </c>
      <c r="K11" s="718">
        <f>huishoudens!J8</f>
        <v>0</v>
      </c>
      <c r="L11" s="718">
        <f>huishoudens!K8</f>
        <v>0</v>
      </c>
      <c r="M11" s="718">
        <f>huishoudens!L8</f>
        <v>0</v>
      </c>
      <c r="N11" s="718">
        <f>huishoudens!M8</f>
        <v>0</v>
      </c>
      <c r="O11" s="718">
        <f>huishoudens!N8</f>
        <v>1430.0779040436075</v>
      </c>
      <c r="P11" s="718">
        <f>huishoudens!O8</f>
        <v>148.51666666666668</v>
      </c>
      <c r="Q11" s="719">
        <f>huishoudens!P8</f>
        <v>533.86666666666667</v>
      </c>
      <c r="R11" s="721">
        <f>SUM(C11:Q11)</f>
        <v>153462.5347934984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11000.779437580002</v>
      </c>
      <c r="D13" s="718">
        <f>industrie!C18</f>
        <v>0</v>
      </c>
      <c r="E13" s="718">
        <f>industrie!D18</f>
        <v>11108.510847662579</v>
      </c>
      <c r="F13" s="718">
        <f>industrie!E18</f>
        <v>673.38626269037059</v>
      </c>
      <c r="G13" s="718">
        <f>industrie!F18</f>
        <v>2692.8966430752666</v>
      </c>
      <c r="H13" s="718">
        <f>industrie!G18</f>
        <v>0</v>
      </c>
      <c r="I13" s="718">
        <f>industrie!H18</f>
        <v>0</v>
      </c>
      <c r="J13" s="718">
        <f>industrie!I18</f>
        <v>0</v>
      </c>
      <c r="K13" s="718">
        <f>industrie!J18</f>
        <v>81.41505781997202</v>
      </c>
      <c r="L13" s="718">
        <f>industrie!K18</f>
        <v>0</v>
      </c>
      <c r="M13" s="718">
        <f>industrie!L18</f>
        <v>0</v>
      </c>
      <c r="N13" s="718">
        <f>industrie!M18</f>
        <v>0</v>
      </c>
      <c r="O13" s="718">
        <f>industrie!N18</f>
        <v>2353.4347107104013</v>
      </c>
      <c r="P13" s="718">
        <f>industrie!O18</f>
        <v>0</v>
      </c>
      <c r="Q13" s="719">
        <f>industrie!P18</f>
        <v>0</v>
      </c>
      <c r="R13" s="721">
        <f>SUM(C13:Q13)</f>
        <v>27910.422959538595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86595.94508478319</v>
      </c>
      <c r="D15" s="723">
        <f t="shared" ref="D15:Q15" ca="1" si="0">SUM(D9:D14)</f>
        <v>10028.571428571429</v>
      </c>
      <c r="E15" s="723">
        <f t="shared" ca="1" si="0"/>
        <v>164927.1197995987</v>
      </c>
      <c r="F15" s="723">
        <f t="shared" si="0"/>
        <v>1280.0662946021548</v>
      </c>
      <c r="G15" s="723">
        <f t="shared" ca="1" si="0"/>
        <v>21935.741849167247</v>
      </c>
      <c r="H15" s="723">
        <f t="shared" si="0"/>
        <v>0</v>
      </c>
      <c r="I15" s="723">
        <f t="shared" si="0"/>
        <v>0</v>
      </c>
      <c r="J15" s="723">
        <f t="shared" si="0"/>
        <v>0</v>
      </c>
      <c r="K15" s="723">
        <f t="shared" si="0"/>
        <v>81.41505781997202</v>
      </c>
      <c r="L15" s="723">
        <f t="shared" si="0"/>
        <v>0</v>
      </c>
      <c r="M15" s="723">
        <f t="shared" ca="1" si="0"/>
        <v>0</v>
      </c>
      <c r="N15" s="723">
        <f t="shared" si="0"/>
        <v>0</v>
      </c>
      <c r="O15" s="723">
        <f t="shared" ca="1" si="0"/>
        <v>5836.1200085486835</v>
      </c>
      <c r="P15" s="723">
        <f t="shared" si="0"/>
        <v>153.20666666666668</v>
      </c>
      <c r="Q15" s="724">
        <f t="shared" si="0"/>
        <v>533.86666666666667</v>
      </c>
      <c r="R15" s="725">
        <f ca="1">SUM(R9:R14)</f>
        <v>291372.05285642471</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2711.8727813388155</v>
      </c>
      <c r="I18" s="718">
        <f>transport!H54</f>
        <v>0</v>
      </c>
      <c r="J18" s="718">
        <f>transport!I54</f>
        <v>0</v>
      </c>
      <c r="K18" s="718">
        <f>transport!J54</f>
        <v>0</v>
      </c>
      <c r="L18" s="718">
        <f>transport!K54</f>
        <v>0</v>
      </c>
      <c r="M18" s="718">
        <f>transport!L54</f>
        <v>0</v>
      </c>
      <c r="N18" s="718">
        <f>transport!M54</f>
        <v>84.116226723918359</v>
      </c>
      <c r="O18" s="718">
        <f>transport!N54</f>
        <v>0</v>
      </c>
      <c r="P18" s="718">
        <f>transport!O54</f>
        <v>0</v>
      </c>
      <c r="Q18" s="719">
        <f>transport!P54</f>
        <v>0</v>
      </c>
      <c r="R18" s="721">
        <f>SUM(C18:Q18)</f>
        <v>2795.9890080627338</v>
      </c>
      <c r="S18" s="67"/>
    </row>
    <row r="19" spans="1:19" s="474" customFormat="1" ht="15" thickBot="1">
      <c r="A19" s="870" t="s">
        <v>307</v>
      </c>
      <c r="B19" s="875"/>
      <c r="C19" s="727">
        <f>transport!B14</f>
        <v>31.189975811957623</v>
      </c>
      <c r="D19" s="727">
        <f>transport!C14</f>
        <v>0</v>
      </c>
      <c r="E19" s="727">
        <f>transport!D14</f>
        <v>73.620187800438202</v>
      </c>
      <c r="F19" s="727">
        <f>transport!E14</f>
        <v>318.10521663917615</v>
      </c>
      <c r="G19" s="727">
        <f>transport!F14</f>
        <v>0</v>
      </c>
      <c r="H19" s="727">
        <f>transport!G14</f>
        <v>97102.318095774521</v>
      </c>
      <c r="I19" s="727">
        <f>transport!H14</f>
        <v>20163.346539276059</v>
      </c>
      <c r="J19" s="727">
        <f>transport!I14</f>
        <v>0</v>
      </c>
      <c r="K19" s="727">
        <f>transport!J14</f>
        <v>0</v>
      </c>
      <c r="L19" s="727">
        <f>transport!K14</f>
        <v>0</v>
      </c>
      <c r="M19" s="727">
        <f>transport!L14</f>
        <v>0</v>
      </c>
      <c r="N19" s="727">
        <f>transport!M14</f>
        <v>3663.3684400419374</v>
      </c>
      <c r="O19" s="727">
        <f>transport!N14</f>
        <v>0</v>
      </c>
      <c r="P19" s="727">
        <f>transport!O14</f>
        <v>0</v>
      </c>
      <c r="Q19" s="728">
        <f>transport!P14</f>
        <v>0</v>
      </c>
      <c r="R19" s="729">
        <f>SUM(C19:Q19)</f>
        <v>121351.94845534409</v>
      </c>
      <c r="S19" s="67"/>
    </row>
    <row r="20" spans="1:19" s="474" customFormat="1" ht="15.75" thickBot="1">
      <c r="A20" s="730" t="s">
        <v>230</v>
      </c>
      <c r="B20" s="878"/>
      <c r="C20" s="873">
        <f>SUM(C17:C19)</f>
        <v>31.189975811957623</v>
      </c>
      <c r="D20" s="731">
        <f t="shared" ref="D20:R20" si="1">SUM(D17:D19)</f>
        <v>0</v>
      </c>
      <c r="E20" s="731">
        <f t="shared" si="1"/>
        <v>73.620187800438202</v>
      </c>
      <c r="F20" s="731">
        <f t="shared" si="1"/>
        <v>318.10521663917615</v>
      </c>
      <c r="G20" s="731">
        <f t="shared" si="1"/>
        <v>0</v>
      </c>
      <c r="H20" s="731">
        <f t="shared" si="1"/>
        <v>99814.190877113331</v>
      </c>
      <c r="I20" s="731">
        <f t="shared" si="1"/>
        <v>20163.346539276059</v>
      </c>
      <c r="J20" s="731">
        <f t="shared" si="1"/>
        <v>0</v>
      </c>
      <c r="K20" s="731">
        <f t="shared" si="1"/>
        <v>0</v>
      </c>
      <c r="L20" s="731">
        <f t="shared" si="1"/>
        <v>0</v>
      </c>
      <c r="M20" s="731">
        <f t="shared" si="1"/>
        <v>0</v>
      </c>
      <c r="N20" s="731">
        <f t="shared" si="1"/>
        <v>3747.4846667658558</v>
      </c>
      <c r="O20" s="731">
        <f t="shared" si="1"/>
        <v>0</v>
      </c>
      <c r="P20" s="731">
        <f t="shared" si="1"/>
        <v>0</v>
      </c>
      <c r="Q20" s="732">
        <f t="shared" si="1"/>
        <v>0</v>
      </c>
      <c r="R20" s="733">
        <f t="shared" si="1"/>
        <v>124147.93746340682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474.51186846399997</v>
      </c>
      <c r="D22" s="727">
        <f>+landbouw!C8</f>
        <v>0</v>
      </c>
      <c r="E22" s="727">
        <f>+landbouw!D8</f>
        <v>4552.8259992527401</v>
      </c>
      <c r="F22" s="727">
        <f>+landbouw!E8</f>
        <v>12.235839172751909</v>
      </c>
      <c r="G22" s="727">
        <f>+landbouw!F8</f>
        <v>1734.4312456315279</v>
      </c>
      <c r="H22" s="727">
        <f>+landbouw!G8</f>
        <v>0</v>
      </c>
      <c r="I22" s="727">
        <f>+landbouw!H8</f>
        <v>0</v>
      </c>
      <c r="J22" s="727">
        <f>+landbouw!I8</f>
        <v>0</v>
      </c>
      <c r="K22" s="727">
        <f>+landbouw!J8</f>
        <v>68.312253353433221</v>
      </c>
      <c r="L22" s="727">
        <f>+landbouw!K8</f>
        <v>0</v>
      </c>
      <c r="M22" s="727">
        <f>+landbouw!L8</f>
        <v>0</v>
      </c>
      <c r="N22" s="727">
        <f>+landbouw!M8</f>
        <v>0</v>
      </c>
      <c r="O22" s="727">
        <f>+landbouw!N8</f>
        <v>0</v>
      </c>
      <c r="P22" s="727">
        <f>+landbouw!O8</f>
        <v>0</v>
      </c>
      <c r="Q22" s="728">
        <f>+landbouw!P8</f>
        <v>0</v>
      </c>
      <c r="R22" s="729">
        <f>SUM(C22:Q22)</f>
        <v>6842.3172058744531</v>
      </c>
      <c r="S22" s="67"/>
    </row>
    <row r="23" spans="1:19" s="474" customFormat="1" ht="17.25" thickTop="1" thickBot="1">
      <c r="A23" s="734" t="s">
        <v>116</v>
      </c>
      <c r="B23" s="864"/>
      <c r="C23" s="735">
        <f ca="1">C20+C15+C22</f>
        <v>87101.646929059149</v>
      </c>
      <c r="D23" s="735">
        <f t="shared" ref="D23:Q23" ca="1" si="2">D20+D15+D22</f>
        <v>10028.571428571429</v>
      </c>
      <c r="E23" s="735">
        <f t="shared" ca="1" si="2"/>
        <v>169553.56598665187</v>
      </c>
      <c r="F23" s="735">
        <f t="shared" si="2"/>
        <v>1610.4073504140829</v>
      </c>
      <c r="G23" s="735">
        <f t="shared" ca="1" si="2"/>
        <v>23670.173094798774</v>
      </c>
      <c r="H23" s="735">
        <f t="shared" si="2"/>
        <v>99814.190877113331</v>
      </c>
      <c r="I23" s="735">
        <f t="shared" si="2"/>
        <v>20163.346539276059</v>
      </c>
      <c r="J23" s="735">
        <f t="shared" si="2"/>
        <v>0</v>
      </c>
      <c r="K23" s="735">
        <f t="shared" si="2"/>
        <v>149.72731117340524</v>
      </c>
      <c r="L23" s="735">
        <f t="shared" si="2"/>
        <v>0</v>
      </c>
      <c r="M23" s="735">
        <f t="shared" ca="1" si="2"/>
        <v>0</v>
      </c>
      <c r="N23" s="735">
        <f t="shared" si="2"/>
        <v>3747.4846667658558</v>
      </c>
      <c r="O23" s="735">
        <f t="shared" ca="1" si="2"/>
        <v>5836.1200085486835</v>
      </c>
      <c r="P23" s="735">
        <f t="shared" si="2"/>
        <v>153.20666666666668</v>
      </c>
      <c r="Q23" s="736">
        <f t="shared" si="2"/>
        <v>533.86666666666667</v>
      </c>
      <c r="R23" s="737">
        <f ca="1">R20+R15+R22</f>
        <v>422362.30752570601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9426.7257399530827</v>
      </c>
      <c r="D36" s="718">
        <f ca="1">tertiair!C20</f>
        <v>2383.2605042016817</v>
      </c>
      <c r="E36" s="718">
        <f ca="1">tertiair!D20</f>
        <v>9315.2408586034762</v>
      </c>
      <c r="F36" s="718">
        <f>tertiair!E20</f>
        <v>84.961197456295366</v>
      </c>
      <c r="G36" s="718">
        <f ca="1">tertiair!F20</f>
        <v>2205.3306241310202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23415.518924345553</v>
      </c>
    </row>
    <row r="37" spans="1:18">
      <c r="A37" s="885" t="s">
        <v>225</v>
      </c>
      <c r="B37" s="892"/>
      <c r="C37" s="718">
        <f ca="1">huishoudens!B12</f>
        <v>7082.6597531113484</v>
      </c>
      <c r="D37" s="718">
        <f ca="1">huishoudens!C12</f>
        <v>0</v>
      </c>
      <c r="E37" s="718">
        <f>huishoudens!D12</f>
        <v>21756.118149687627</v>
      </c>
      <c r="F37" s="718">
        <f>huishoudens!E12</f>
        <v>52.755169787679698</v>
      </c>
      <c r="G37" s="718">
        <f>huishoudens!F12</f>
        <v>2932.5090458955387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31824.042118482193</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2402.4831072766369</v>
      </c>
      <c r="D39" s="718">
        <f ca="1">industrie!C22</f>
        <v>0</v>
      </c>
      <c r="E39" s="718">
        <f>industrie!D22</f>
        <v>2243.9191912278411</v>
      </c>
      <c r="F39" s="718">
        <f>industrie!E22</f>
        <v>152.85868163071413</v>
      </c>
      <c r="G39" s="718">
        <f>industrie!F22</f>
        <v>719.0034037010962</v>
      </c>
      <c r="H39" s="718">
        <f>industrie!G22</f>
        <v>0</v>
      </c>
      <c r="I39" s="718">
        <f>industrie!H22</f>
        <v>0</v>
      </c>
      <c r="J39" s="718">
        <f>industrie!I22</f>
        <v>0</v>
      </c>
      <c r="K39" s="718">
        <f>industrie!J22</f>
        <v>28.820930468270095</v>
      </c>
      <c r="L39" s="718">
        <f>industrie!K22</f>
        <v>0</v>
      </c>
      <c r="M39" s="718">
        <f>industrie!L22</f>
        <v>0</v>
      </c>
      <c r="N39" s="718">
        <f>industrie!M22</f>
        <v>0</v>
      </c>
      <c r="O39" s="718">
        <f>industrie!N22</f>
        <v>0</v>
      </c>
      <c r="P39" s="718">
        <f>industrie!O22</f>
        <v>0</v>
      </c>
      <c r="Q39" s="828">
        <f>industrie!P22</f>
        <v>0</v>
      </c>
      <c r="R39" s="918">
        <f ca="1">SUM(C39:Q39)</f>
        <v>5547.0853143045588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18911.868600341066</v>
      </c>
      <c r="D41" s="763">
        <f t="shared" ref="D41:R41" ca="1" si="4">SUM(D35:D40)</f>
        <v>2383.2605042016817</v>
      </c>
      <c r="E41" s="763">
        <f t="shared" ca="1" si="4"/>
        <v>33315.278199518943</v>
      </c>
      <c r="F41" s="763">
        <f t="shared" si="4"/>
        <v>290.57504887468917</v>
      </c>
      <c r="G41" s="763">
        <f t="shared" ca="1" si="4"/>
        <v>5856.8430737276549</v>
      </c>
      <c r="H41" s="763">
        <f t="shared" si="4"/>
        <v>0</v>
      </c>
      <c r="I41" s="763">
        <f t="shared" si="4"/>
        <v>0</v>
      </c>
      <c r="J41" s="763">
        <f t="shared" si="4"/>
        <v>0</v>
      </c>
      <c r="K41" s="763">
        <f t="shared" si="4"/>
        <v>28.820930468270095</v>
      </c>
      <c r="L41" s="763">
        <f t="shared" si="4"/>
        <v>0</v>
      </c>
      <c r="M41" s="763">
        <f t="shared" ca="1" si="4"/>
        <v>0</v>
      </c>
      <c r="N41" s="763">
        <f t="shared" si="4"/>
        <v>0</v>
      </c>
      <c r="O41" s="763">
        <f t="shared" ca="1" si="4"/>
        <v>0</v>
      </c>
      <c r="P41" s="763">
        <f t="shared" si="4"/>
        <v>0</v>
      </c>
      <c r="Q41" s="764">
        <f t="shared" si="4"/>
        <v>0</v>
      </c>
      <c r="R41" s="765">
        <f t="shared" ca="1" si="4"/>
        <v>60786.646357132304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724.07003261746377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724.07003261746377</v>
      </c>
    </row>
    <row r="45" spans="1:18" ht="15" thickBot="1">
      <c r="A45" s="888" t="s">
        <v>307</v>
      </c>
      <c r="B45" s="898"/>
      <c r="C45" s="727">
        <f ca="1">transport!B18</f>
        <v>6.8116437048645402</v>
      </c>
      <c r="D45" s="727">
        <f>transport!C18</f>
        <v>0</v>
      </c>
      <c r="E45" s="727">
        <f>transport!D18</f>
        <v>14.871277935688518</v>
      </c>
      <c r="F45" s="727">
        <f>transport!E18</f>
        <v>72.209884177092988</v>
      </c>
      <c r="G45" s="727">
        <f>transport!F18</f>
        <v>0</v>
      </c>
      <c r="H45" s="727">
        <f>transport!G18</f>
        <v>25926.318931571797</v>
      </c>
      <c r="I45" s="727">
        <f>transport!H18</f>
        <v>5020.6732882797387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31040.88502566918</v>
      </c>
    </row>
    <row r="46" spans="1:18" ht="15.75" thickBot="1">
      <c r="A46" s="886" t="s">
        <v>230</v>
      </c>
      <c r="B46" s="899"/>
      <c r="C46" s="763">
        <f t="shared" ref="C46:R46" ca="1" si="5">SUM(C43:C45)</f>
        <v>6.8116437048645402</v>
      </c>
      <c r="D46" s="763">
        <f t="shared" ca="1" si="5"/>
        <v>0</v>
      </c>
      <c r="E46" s="763">
        <f t="shared" si="5"/>
        <v>14.871277935688518</v>
      </c>
      <c r="F46" s="763">
        <f t="shared" si="5"/>
        <v>72.209884177092988</v>
      </c>
      <c r="G46" s="763">
        <f t="shared" si="5"/>
        <v>0</v>
      </c>
      <c r="H46" s="763">
        <f t="shared" si="5"/>
        <v>26650.38896418926</v>
      </c>
      <c r="I46" s="763">
        <f t="shared" si="5"/>
        <v>5020.6732882797387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31764.955058286643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103.62963412325418</v>
      </c>
      <c r="D48" s="718">
        <f ca="1">+landbouw!C12</f>
        <v>0</v>
      </c>
      <c r="E48" s="718">
        <f>+landbouw!D12</f>
        <v>919.67085184905352</v>
      </c>
      <c r="F48" s="718">
        <f>+landbouw!E12</f>
        <v>2.7775354922146835</v>
      </c>
      <c r="G48" s="718">
        <f>+landbouw!F12</f>
        <v>463.09314258361798</v>
      </c>
      <c r="H48" s="718">
        <f>+landbouw!G12</f>
        <v>0</v>
      </c>
      <c r="I48" s="718">
        <f>+landbouw!H12</f>
        <v>0</v>
      </c>
      <c r="J48" s="718">
        <f>+landbouw!I12</f>
        <v>0</v>
      </c>
      <c r="K48" s="718">
        <f>+landbouw!J12</f>
        <v>24.18253768711536</v>
      </c>
      <c r="L48" s="718">
        <f>+landbouw!K12</f>
        <v>0</v>
      </c>
      <c r="M48" s="718">
        <f>+landbouw!L12</f>
        <v>0</v>
      </c>
      <c r="N48" s="718">
        <f>+landbouw!M12</f>
        <v>0</v>
      </c>
      <c r="O48" s="718">
        <f>+landbouw!N12</f>
        <v>0</v>
      </c>
      <c r="P48" s="718">
        <f>+landbouw!O12</f>
        <v>0</v>
      </c>
      <c r="Q48" s="719">
        <f>+landbouw!P12</f>
        <v>0</v>
      </c>
      <c r="R48" s="761">
        <f ca="1">SUM(C48:Q48)</f>
        <v>1513.3537017352558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19022.309878169184</v>
      </c>
      <c r="D53" s="773">
        <f t="shared" ref="D53:Q53" ca="1" si="6">D41+D46+D48</f>
        <v>2383.2605042016817</v>
      </c>
      <c r="E53" s="773">
        <f t="shared" ca="1" si="6"/>
        <v>34249.820329303686</v>
      </c>
      <c r="F53" s="773">
        <f t="shared" si="6"/>
        <v>365.56246854399683</v>
      </c>
      <c r="G53" s="773">
        <f t="shared" ca="1" si="6"/>
        <v>6319.9362163112728</v>
      </c>
      <c r="H53" s="773">
        <f t="shared" si="6"/>
        <v>26650.38896418926</v>
      </c>
      <c r="I53" s="773">
        <f t="shared" si="6"/>
        <v>5020.6732882797387</v>
      </c>
      <c r="J53" s="773">
        <f t="shared" si="6"/>
        <v>0</v>
      </c>
      <c r="K53" s="773">
        <f t="shared" si="6"/>
        <v>53.003468155385455</v>
      </c>
      <c r="L53" s="773">
        <f t="shared" si="6"/>
        <v>0</v>
      </c>
      <c r="M53" s="773">
        <f t="shared" ca="1" si="6"/>
        <v>0</v>
      </c>
      <c r="N53" s="773">
        <f t="shared" si="6"/>
        <v>0</v>
      </c>
      <c r="O53" s="773">
        <f t="shared" ca="1" si="6"/>
        <v>0</v>
      </c>
      <c r="P53" s="773">
        <f>P41+P46+P48</f>
        <v>0</v>
      </c>
      <c r="Q53" s="774">
        <f t="shared" si="6"/>
        <v>0</v>
      </c>
      <c r="R53" s="775">
        <f ca="1">R41+R46+R48</f>
        <v>94064.955117154197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0.2183920803892733</v>
      </c>
      <c r="D55" s="836">
        <f t="shared" ca="1" si="7"/>
        <v>0.23764705882352949</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1556.6355026880672</v>
      </c>
      <c r="C66" s="795">
        <f>'lokale energieproductie'!B6</f>
        <v>1556.6355026880672</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7020</v>
      </c>
      <c r="C67" s="794">
        <f>B67*IFERROR(SUM(J67:L67)/SUM(D67:M67),0)</f>
        <v>0</v>
      </c>
      <c r="D67" s="826">
        <f>'lokale energieproductie'!C7</f>
        <v>8258.8235294117658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1668.2823529411769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8576.6355026880665</v>
      </c>
      <c r="C69" s="803">
        <f>SUM(C64:C68)</f>
        <v>1556.6355026880672</v>
      </c>
      <c r="D69" s="804">
        <f t="shared" ref="D69:M69" si="8">SUM(D67:D68)</f>
        <v>8258.8235294117658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1668.2823529411769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10028.571428571429</v>
      </c>
      <c r="C78" s="817">
        <f>B78*IFERROR(SUM(I78:L78)/SUM(D78:M78),0)</f>
        <v>0</v>
      </c>
      <c r="D78" s="832">
        <f>'lokale energieproductie'!C16</f>
        <v>11798.319327731097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2383.2605042016817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10028.571428571429</v>
      </c>
      <c r="C81" s="803">
        <f>SUM(C78:C80)</f>
        <v>0</v>
      </c>
      <c r="D81" s="803">
        <f t="shared" ref="D81:P81" si="9">SUM(D78:D80)</f>
        <v>11798.319327731097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2383.2605042016817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32430.93678345318</v>
      </c>
      <c r="C4" s="478">
        <f>huishoudens!C8</f>
        <v>0</v>
      </c>
      <c r="D4" s="478">
        <f>huishoudens!D8</f>
        <v>107703.55519647339</v>
      </c>
      <c r="E4" s="478">
        <f>huishoudens!E8</f>
        <v>232.40162902061539</v>
      </c>
      <c r="F4" s="478">
        <f>huishoudens!F8</f>
        <v>10983.179947174302</v>
      </c>
      <c r="G4" s="478">
        <f>huishoudens!G8</f>
        <v>0</v>
      </c>
      <c r="H4" s="478">
        <f>huishoudens!H8</f>
        <v>0</v>
      </c>
      <c r="I4" s="478">
        <f>huishoudens!I8</f>
        <v>0</v>
      </c>
      <c r="J4" s="478">
        <f>huishoudens!J8</f>
        <v>0</v>
      </c>
      <c r="K4" s="478">
        <f>huishoudens!K8</f>
        <v>0</v>
      </c>
      <c r="L4" s="478">
        <f>huishoudens!L8</f>
        <v>0</v>
      </c>
      <c r="M4" s="478">
        <f>huishoudens!M8</f>
        <v>0</v>
      </c>
      <c r="N4" s="478">
        <f>huishoudens!N8</f>
        <v>1430.0779040436075</v>
      </c>
      <c r="O4" s="478">
        <f>huishoudens!O8</f>
        <v>148.51666666666668</v>
      </c>
      <c r="P4" s="479">
        <f>huishoudens!P8</f>
        <v>533.86666666666667</v>
      </c>
      <c r="Q4" s="480">
        <f>SUM(B4:P4)</f>
        <v>153462.5347934984</v>
      </c>
    </row>
    <row r="5" spans="1:17">
      <c r="A5" s="477" t="s">
        <v>156</v>
      </c>
      <c r="B5" s="478">
        <f ca="1">tertiair!B16</f>
        <v>42284.48586375</v>
      </c>
      <c r="C5" s="478">
        <f ca="1">tertiair!C16</f>
        <v>10028.571428571429</v>
      </c>
      <c r="D5" s="478">
        <f ca="1">tertiair!D16</f>
        <v>46115.053755462752</v>
      </c>
      <c r="E5" s="478">
        <f>tertiair!E16</f>
        <v>374.27840289116898</v>
      </c>
      <c r="F5" s="478">
        <f ca="1">tertiair!F16</f>
        <v>8259.6652589176774</v>
      </c>
      <c r="G5" s="478">
        <f>tertiair!G16</f>
        <v>0</v>
      </c>
      <c r="H5" s="478">
        <f>tertiair!H16</f>
        <v>0</v>
      </c>
      <c r="I5" s="478">
        <f>tertiair!I16</f>
        <v>0</v>
      </c>
      <c r="J5" s="478">
        <f>tertiair!J16</f>
        <v>0</v>
      </c>
      <c r="K5" s="478">
        <f>tertiair!K16</f>
        <v>0</v>
      </c>
      <c r="L5" s="478">
        <f ca="1">tertiair!L16</f>
        <v>0</v>
      </c>
      <c r="M5" s="478">
        <f>tertiair!M16</f>
        <v>0</v>
      </c>
      <c r="N5" s="478">
        <f ca="1">tertiair!N16</f>
        <v>2052.6073937946749</v>
      </c>
      <c r="O5" s="478">
        <f>tertiair!O16</f>
        <v>4.6900000000000004</v>
      </c>
      <c r="P5" s="479">
        <f>tertiair!P16</f>
        <v>0</v>
      </c>
      <c r="Q5" s="477">
        <f t="shared" ref="Q5:Q13" ca="1" si="0">SUM(B5:P5)</f>
        <v>109119.35210338772</v>
      </c>
    </row>
    <row r="6" spans="1:17">
      <c r="A6" s="477" t="s">
        <v>194</v>
      </c>
      <c r="B6" s="478">
        <f>'openbare verlichting'!B8</f>
        <v>879.74300000000005</v>
      </c>
      <c r="C6" s="478"/>
      <c r="D6" s="478"/>
      <c r="E6" s="478"/>
      <c r="F6" s="478"/>
      <c r="G6" s="478"/>
      <c r="H6" s="478"/>
      <c r="I6" s="478"/>
      <c r="J6" s="478"/>
      <c r="K6" s="478"/>
      <c r="L6" s="478"/>
      <c r="M6" s="478"/>
      <c r="N6" s="478"/>
      <c r="O6" s="478"/>
      <c r="P6" s="479"/>
      <c r="Q6" s="477">
        <f t="shared" si="0"/>
        <v>879.74300000000005</v>
      </c>
    </row>
    <row r="7" spans="1:17">
      <c r="A7" s="477" t="s">
        <v>112</v>
      </c>
      <c r="B7" s="478">
        <f>landbouw!B8</f>
        <v>474.51186846399997</v>
      </c>
      <c r="C7" s="478">
        <f>landbouw!C8</f>
        <v>0</v>
      </c>
      <c r="D7" s="478">
        <f>landbouw!D8</f>
        <v>4552.8259992527401</v>
      </c>
      <c r="E7" s="478">
        <f>landbouw!E8</f>
        <v>12.235839172751909</v>
      </c>
      <c r="F7" s="478">
        <f>landbouw!F8</f>
        <v>1734.4312456315279</v>
      </c>
      <c r="G7" s="478">
        <f>landbouw!G8</f>
        <v>0</v>
      </c>
      <c r="H7" s="478">
        <f>landbouw!H8</f>
        <v>0</v>
      </c>
      <c r="I7" s="478">
        <f>landbouw!I8</f>
        <v>0</v>
      </c>
      <c r="J7" s="478">
        <f>landbouw!J8</f>
        <v>68.312253353433221</v>
      </c>
      <c r="K7" s="478">
        <f>landbouw!K8</f>
        <v>0</v>
      </c>
      <c r="L7" s="478">
        <f>landbouw!L8</f>
        <v>0</v>
      </c>
      <c r="M7" s="478">
        <f>landbouw!M8</f>
        <v>0</v>
      </c>
      <c r="N7" s="478">
        <f>landbouw!N8</f>
        <v>0</v>
      </c>
      <c r="O7" s="478">
        <f>landbouw!O8</f>
        <v>0</v>
      </c>
      <c r="P7" s="479">
        <f>landbouw!P8</f>
        <v>0</v>
      </c>
      <c r="Q7" s="477">
        <f t="shared" si="0"/>
        <v>6842.3172058744531</v>
      </c>
    </row>
    <row r="8" spans="1:17">
      <c r="A8" s="477" t="s">
        <v>638</v>
      </c>
      <c r="B8" s="478">
        <f>industrie!B18</f>
        <v>11000.779437580002</v>
      </c>
      <c r="C8" s="478">
        <f>industrie!C18</f>
        <v>0</v>
      </c>
      <c r="D8" s="478">
        <f>industrie!D18</f>
        <v>11108.510847662579</v>
      </c>
      <c r="E8" s="478">
        <f>industrie!E18</f>
        <v>673.38626269037059</v>
      </c>
      <c r="F8" s="478">
        <f>industrie!F18</f>
        <v>2692.8966430752666</v>
      </c>
      <c r="G8" s="478">
        <f>industrie!G18</f>
        <v>0</v>
      </c>
      <c r="H8" s="478">
        <f>industrie!H18</f>
        <v>0</v>
      </c>
      <c r="I8" s="478">
        <f>industrie!I18</f>
        <v>0</v>
      </c>
      <c r="J8" s="478">
        <f>industrie!J18</f>
        <v>81.41505781997202</v>
      </c>
      <c r="K8" s="478">
        <f>industrie!K18</f>
        <v>0</v>
      </c>
      <c r="L8" s="478">
        <f>industrie!L18</f>
        <v>0</v>
      </c>
      <c r="M8" s="478">
        <f>industrie!M18</f>
        <v>0</v>
      </c>
      <c r="N8" s="478">
        <f>industrie!N18</f>
        <v>2353.4347107104013</v>
      </c>
      <c r="O8" s="478">
        <f>industrie!O18</f>
        <v>0</v>
      </c>
      <c r="P8" s="479">
        <f>industrie!P18</f>
        <v>0</v>
      </c>
      <c r="Q8" s="477">
        <f t="shared" si="0"/>
        <v>27910.422959538595</v>
      </c>
    </row>
    <row r="9" spans="1:17" s="483" customFormat="1">
      <c r="A9" s="481" t="s">
        <v>564</v>
      </c>
      <c r="B9" s="482">
        <f>transport!B14</f>
        <v>31.189975811957623</v>
      </c>
      <c r="C9" s="482">
        <f>transport!C14</f>
        <v>0</v>
      </c>
      <c r="D9" s="482">
        <f>transport!D14</f>
        <v>73.620187800438202</v>
      </c>
      <c r="E9" s="482">
        <f>transport!E14</f>
        <v>318.10521663917615</v>
      </c>
      <c r="F9" s="482">
        <f>transport!F14</f>
        <v>0</v>
      </c>
      <c r="G9" s="482">
        <f>transport!G14</f>
        <v>97102.318095774521</v>
      </c>
      <c r="H9" s="482">
        <f>transport!H14</f>
        <v>20163.346539276059</v>
      </c>
      <c r="I9" s="482">
        <f>transport!I14</f>
        <v>0</v>
      </c>
      <c r="J9" s="482">
        <f>transport!J14</f>
        <v>0</v>
      </c>
      <c r="K9" s="482">
        <f>transport!K14</f>
        <v>0</v>
      </c>
      <c r="L9" s="482">
        <f>transport!L14</f>
        <v>0</v>
      </c>
      <c r="M9" s="482">
        <f>transport!M14</f>
        <v>3663.3684400419374</v>
      </c>
      <c r="N9" s="482">
        <f>transport!N14</f>
        <v>0</v>
      </c>
      <c r="O9" s="482">
        <f>transport!O14</f>
        <v>0</v>
      </c>
      <c r="P9" s="482">
        <f>transport!P14</f>
        <v>0</v>
      </c>
      <c r="Q9" s="481">
        <f>SUM(B9:P9)</f>
        <v>121351.94845534409</v>
      </c>
    </row>
    <row r="10" spans="1:17">
      <c r="A10" s="477" t="s">
        <v>554</v>
      </c>
      <c r="B10" s="478">
        <f>transport!B54</f>
        <v>0</v>
      </c>
      <c r="C10" s="478">
        <f>transport!C54</f>
        <v>0</v>
      </c>
      <c r="D10" s="478">
        <f>transport!D54</f>
        <v>0</v>
      </c>
      <c r="E10" s="478">
        <f>transport!E54</f>
        <v>0</v>
      </c>
      <c r="F10" s="478">
        <f>transport!F54</f>
        <v>0</v>
      </c>
      <c r="G10" s="478">
        <f>transport!G54</f>
        <v>2711.8727813388155</v>
      </c>
      <c r="H10" s="478">
        <f>transport!H54</f>
        <v>0</v>
      </c>
      <c r="I10" s="478">
        <f>transport!I54</f>
        <v>0</v>
      </c>
      <c r="J10" s="478">
        <f>transport!J54</f>
        <v>0</v>
      </c>
      <c r="K10" s="478">
        <f>transport!K54</f>
        <v>0</v>
      </c>
      <c r="L10" s="478">
        <f>transport!L54</f>
        <v>0</v>
      </c>
      <c r="M10" s="478">
        <f>transport!M54</f>
        <v>84.116226723918359</v>
      </c>
      <c r="N10" s="478">
        <f>transport!N54</f>
        <v>0</v>
      </c>
      <c r="O10" s="478">
        <f>transport!O54</f>
        <v>0</v>
      </c>
      <c r="P10" s="479">
        <f>transport!P54</f>
        <v>0</v>
      </c>
      <c r="Q10" s="477">
        <f t="shared" si="0"/>
        <v>2795.9890080627338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87101.646929059134</v>
      </c>
      <c r="C14" s="488">
        <f t="shared" ref="C14:Q14" ca="1" si="1">SUM(C4:C13)</f>
        <v>10028.571428571429</v>
      </c>
      <c r="D14" s="488">
        <f t="shared" ca="1" si="1"/>
        <v>169553.56598665187</v>
      </c>
      <c r="E14" s="488">
        <f t="shared" si="1"/>
        <v>1610.4073504140831</v>
      </c>
      <c r="F14" s="488">
        <f t="shared" ca="1" si="1"/>
        <v>23670.173094798774</v>
      </c>
      <c r="G14" s="488">
        <f t="shared" si="1"/>
        <v>99814.190877113331</v>
      </c>
      <c r="H14" s="488">
        <f t="shared" si="1"/>
        <v>20163.346539276059</v>
      </c>
      <c r="I14" s="488">
        <f t="shared" si="1"/>
        <v>0</v>
      </c>
      <c r="J14" s="488">
        <f t="shared" si="1"/>
        <v>149.72731117340524</v>
      </c>
      <c r="K14" s="488">
        <f t="shared" si="1"/>
        <v>0</v>
      </c>
      <c r="L14" s="488">
        <f t="shared" ca="1" si="1"/>
        <v>0</v>
      </c>
      <c r="M14" s="488">
        <f t="shared" si="1"/>
        <v>3747.4846667658558</v>
      </c>
      <c r="N14" s="488">
        <f t="shared" ca="1" si="1"/>
        <v>5836.1200085486835</v>
      </c>
      <c r="O14" s="488">
        <f t="shared" si="1"/>
        <v>153.20666666666668</v>
      </c>
      <c r="P14" s="489">
        <f t="shared" si="1"/>
        <v>533.86666666666667</v>
      </c>
      <c r="Q14" s="489">
        <f t="shared" ca="1" si="1"/>
        <v>422362.30752570595</v>
      </c>
    </row>
    <row r="16" spans="1:17">
      <c r="A16" s="491" t="s">
        <v>559</v>
      </c>
      <c r="B16" s="841">
        <f ca="1">huishoudens!B10</f>
        <v>0.21839208038927332</v>
      </c>
      <c r="C16" s="841">
        <f ca="1">huishoudens!C10</f>
        <v>0.23764705882352949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7082.6597531113484</v>
      </c>
      <c r="C21" s="478">
        <f t="shared" ref="C21:C30" ca="1" si="3">C4*$C$16</f>
        <v>0</v>
      </c>
      <c r="D21" s="478">
        <f t="shared" ref="D21:D30" si="4">D4*$D$16</f>
        <v>21756.118149687627</v>
      </c>
      <c r="E21" s="478">
        <f t="shared" ref="E21:E30" si="5">E4*$E$16</f>
        <v>52.755169787679698</v>
      </c>
      <c r="F21" s="478">
        <f t="shared" ref="F21:F30" si="6">F4*$F$16</f>
        <v>2932.5090458955387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31824.042118482193</v>
      </c>
    </row>
    <row r="22" spans="1:17">
      <c r="A22" s="477" t="s">
        <v>156</v>
      </c>
      <c r="B22" s="478">
        <f t="shared" ca="1" si="2"/>
        <v>9234.5968359751823</v>
      </c>
      <c r="C22" s="478">
        <f t="shared" ca="1" si="3"/>
        <v>2383.2605042016817</v>
      </c>
      <c r="D22" s="478">
        <f t="shared" ca="1" si="4"/>
        <v>9315.2408586034762</v>
      </c>
      <c r="E22" s="478">
        <f t="shared" si="5"/>
        <v>84.961197456295366</v>
      </c>
      <c r="F22" s="478">
        <f t="shared" ca="1" si="6"/>
        <v>2205.3306241310202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23223.390020367653</v>
      </c>
    </row>
    <row r="23" spans="1:17">
      <c r="A23" s="477" t="s">
        <v>194</v>
      </c>
      <c r="B23" s="478">
        <f t="shared" ca="1" si="2"/>
        <v>192.12890397790051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192.12890397790051</v>
      </c>
    </row>
    <row r="24" spans="1:17">
      <c r="A24" s="477" t="s">
        <v>112</v>
      </c>
      <c r="B24" s="478">
        <f t="shared" ca="1" si="2"/>
        <v>103.62963412325418</v>
      </c>
      <c r="C24" s="478">
        <f t="shared" ca="1" si="3"/>
        <v>0</v>
      </c>
      <c r="D24" s="478">
        <f t="shared" si="4"/>
        <v>919.67085184905352</v>
      </c>
      <c r="E24" s="478">
        <f t="shared" si="5"/>
        <v>2.7775354922146835</v>
      </c>
      <c r="F24" s="478">
        <f t="shared" si="6"/>
        <v>463.09314258361798</v>
      </c>
      <c r="G24" s="478">
        <f t="shared" si="7"/>
        <v>0</v>
      </c>
      <c r="H24" s="478">
        <f t="shared" si="8"/>
        <v>0</v>
      </c>
      <c r="I24" s="478">
        <f t="shared" si="9"/>
        <v>0</v>
      </c>
      <c r="J24" s="478">
        <f t="shared" si="10"/>
        <v>24.18253768711536</v>
      </c>
      <c r="K24" s="478">
        <f t="shared" si="11"/>
        <v>0</v>
      </c>
      <c r="L24" s="478">
        <f t="shared" si="12"/>
        <v>0</v>
      </c>
      <c r="M24" s="478">
        <f t="shared" si="13"/>
        <v>0</v>
      </c>
      <c r="N24" s="478">
        <f t="shared" si="14"/>
        <v>0</v>
      </c>
      <c r="O24" s="478">
        <f t="shared" si="15"/>
        <v>0</v>
      </c>
      <c r="P24" s="479">
        <f t="shared" si="16"/>
        <v>0</v>
      </c>
      <c r="Q24" s="477">
        <f t="shared" ca="1" si="17"/>
        <v>1513.3537017352558</v>
      </c>
    </row>
    <row r="25" spans="1:17">
      <c r="A25" s="477" t="s">
        <v>638</v>
      </c>
      <c r="B25" s="478">
        <f t="shared" ca="1" si="2"/>
        <v>2402.4831072766369</v>
      </c>
      <c r="C25" s="478">
        <f t="shared" ca="1" si="3"/>
        <v>0</v>
      </c>
      <c r="D25" s="478">
        <f t="shared" si="4"/>
        <v>2243.9191912278411</v>
      </c>
      <c r="E25" s="478">
        <f t="shared" si="5"/>
        <v>152.85868163071413</v>
      </c>
      <c r="F25" s="478">
        <f t="shared" si="6"/>
        <v>719.0034037010962</v>
      </c>
      <c r="G25" s="478">
        <f t="shared" si="7"/>
        <v>0</v>
      </c>
      <c r="H25" s="478">
        <f t="shared" si="8"/>
        <v>0</v>
      </c>
      <c r="I25" s="478">
        <f t="shared" si="9"/>
        <v>0</v>
      </c>
      <c r="J25" s="478">
        <f t="shared" si="10"/>
        <v>28.820930468270095</v>
      </c>
      <c r="K25" s="478">
        <f t="shared" si="11"/>
        <v>0</v>
      </c>
      <c r="L25" s="478">
        <f t="shared" si="12"/>
        <v>0</v>
      </c>
      <c r="M25" s="478">
        <f t="shared" si="13"/>
        <v>0</v>
      </c>
      <c r="N25" s="478">
        <f t="shared" si="14"/>
        <v>0</v>
      </c>
      <c r="O25" s="478">
        <f t="shared" si="15"/>
        <v>0</v>
      </c>
      <c r="P25" s="479">
        <f t="shared" si="16"/>
        <v>0</v>
      </c>
      <c r="Q25" s="477">
        <f t="shared" ca="1" si="17"/>
        <v>5547.0853143045588</v>
      </c>
    </row>
    <row r="26" spans="1:17" s="483" customFormat="1">
      <c r="A26" s="481" t="s">
        <v>564</v>
      </c>
      <c r="B26" s="835">
        <f t="shared" ca="1" si="2"/>
        <v>6.8116437048645402</v>
      </c>
      <c r="C26" s="482">
        <f t="shared" ca="1" si="3"/>
        <v>0</v>
      </c>
      <c r="D26" s="482">
        <f t="shared" si="4"/>
        <v>14.871277935688518</v>
      </c>
      <c r="E26" s="482">
        <f t="shared" si="5"/>
        <v>72.209884177092988</v>
      </c>
      <c r="F26" s="482">
        <f t="shared" si="6"/>
        <v>0</v>
      </c>
      <c r="G26" s="482">
        <f t="shared" si="7"/>
        <v>25926.318931571797</v>
      </c>
      <c r="H26" s="482">
        <f t="shared" si="8"/>
        <v>5020.6732882797387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31040.88502566918</v>
      </c>
    </row>
    <row r="27" spans="1:17">
      <c r="A27" s="477" t="s">
        <v>554</v>
      </c>
      <c r="B27" s="478">
        <f t="shared" ca="1" si="2"/>
        <v>0</v>
      </c>
      <c r="C27" s="478">
        <f t="shared" ca="1" si="3"/>
        <v>0</v>
      </c>
      <c r="D27" s="478">
        <f t="shared" si="4"/>
        <v>0</v>
      </c>
      <c r="E27" s="478">
        <f t="shared" si="5"/>
        <v>0</v>
      </c>
      <c r="F27" s="478">
        <f t="shared" si="6"/>
        <v>0</v>
      </c>
      <c r="G27" s="478">
        <f t="shared" si="7"/>
        <v>724.07003261746377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724.07003261746377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19022.309878169184</v>
      </c>
      <c r="C31" s="488">
        <f t="shared" ca="1" si="18"/>
        <v>2383.2605042016817</v>
      </c>
      <c r="D31" s="488">
        <f t="shared" ca="1" si="18"/>
        <v>34249.820329303686</v>
      </c>
      <c r="E31" s="488">
        <f t="shared" si="18"/>
        <v>365.56246854399689</v>
      </c>
      <c r="F31" s="488">
        <f t="shared" ca="1" si="18"/>
        <v>6319.9362163112728</v>
      </c>
      <c r="G31" s="488">
        <f t="shared" si="18"/>
        <v>26650.38896418926</v>
      </c>
      <c r="H31" s="488">
        <f t="shared" si="18"/>
        <v>5020.6732882797387</v>
      </c>
      <c r="I31" s="488">
        <f t="shared" si="18"/>
        <v>0</v>
      </c>
      <c r="J31" s="488">
        <f t="shared" si="18"/>
        <v>53.003468155385455</v>
      </c>
      <c r="K31" s="488">
        <f t="shared" si="18"/>
        <v>0</v>
      </c>
      <c r="L31" s="488">
        <f t="shared" ca="1" si="18"/>
        <v>0</v>
      </c>
      <c r="M31" s="488">
        <f t="shared" si="18"/>
        <v>0</v>
      </c>
      <c r="N31" s="488">
        <f t="shared" ca="1" si="18"/>
        <v>0</v>
      </c>
      <c r="O31" s="488">
        <f t="shared" si="18"/>
        <v>0</v>
      </c>
      <c r="P31" s="489">
        <f t="shared" si="18"/>
        <v>0</v>
      </c>
      <c r="Q31" s="489">
        <f t="shared" ca="1" si="18"/>
        <v>94064.955117154212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0.21839208038927332</v>
      </c>
      <c r="C17" s="528">
        <f ca="1">'EF ele_warmte'!B22</f>
        <v>0.23764705882352949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0.21839208038927332</v>
      </c>
      <c r="C17" s="528">
        <f ca="1">'EF ele_warmte'!B22</f>
        <v>0.23764705882352949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0.21839208038927332</v>
      </c>
      <c r="C29" s="529">
        <f ca="1">'EF ele_warmte'!B22</f>
        <v>0.23764705882352949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11013</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9328</v>
      </c>
      <c r="C9" s="342">
        <v>8931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124.28</v>
      </c>
    </row>
    <row r="15" spans="1:6">
      <c r="A15" s="348" t="s">
        <v>184</v>
      </c>
      <c r="B15" s="334">
        <v>2</v>
      </c>
    </row>
    <row r="16" spans="1:6">
      <c r="A16" s="348" t="s">
        <v>6</v>
      </c>
      <c r="B16" s="334">
        <v>103</v>
      </c>
    </row>
    <row r="17" spans="1:6">
      <c r="A17" s="348" t="s">
        <v>7</v>
      </c>
      <c r="B17" s="334">
        <v>0</v>
      </c>
    </row>
    <row r="18" spans="1:6">
      <c r="A18" s="348" t="s">
        <v>8</v>
      </c>
      <c r="B18" s="334">
        <v>74</v>
      </c>
    </row>
    <row r="19" spans="1:6">
      <c r="A19" s="348" t="s">
        <v>9</v>
      </c>
      <c r="B19" s="334">
        <v>22</v>
      </c>
    </row>
    <row r="20" spans="1:6">
      <c r="A20" s="348" t="s">
        <v>10</v>
      </c>
      <c r="B20" s="334">
        <v>37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812</v>
      </c>
      <c r="B29" s="355">
        <v>0</v>
      </c>
      <c r="C29" s="356"/>
      <c r="D29" s="356"/>
      <c r="E29" s="356"/>
      <c r="F29" s="356"/>
    </row>
    <row r="30" spans="1:6">
      <c r="A30" s="355" t="s">
        <v>813</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7822</v>
      </c>
      <c r="D39" s="334">
        <v>119365800.01000001</v>
      </c>
      <c r="E39" s="334">
        <v>9566</v>
      </c>
      <c r="F39" s="334">
        <v>31129781.504999999</v>
      </c>
    </row>
    <row r="40" spans="1:6">
      <c r="A40" s="348" t="s">
        <v>30</v>
      </c>
      <c r="B40" s="348" t="s">
        <v>29</v>
      </c>
      <c r="C40" s="334">
        <v>1</v>
      </c>
      <c r="D40" s="334">
        <v>39471.826444999999</v>
      </c>
      <c r="E40" s="334">
        <v>1</v>
      </c>
      <c r="F40" s="334">
        <v>4074</v>
      </c>
    </row>
    <row r="41" spans="1:6">
      <c r="A41" s="348" t="s">
        <v>32</v>
      </c>
      <c r="B41" s="348" t="s">
        <v>33</v>
      </c>
      <c r="C41" s="334">
        <v>55</v>
      </c>
      <c r="D41" s="334">
        <v>1922415.5347</v>
      </c>
      <c r="E41" s="334">
        <v>101</v>
      </c>
      <c r="F41" s="334">
        <v>452620.60232000001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9460007.5957999993</v>
      </c>
      <c r="E48" s="334">
        <v>22</v>
      </c>
      <c r="F48" s="334">
        <v>10042419.811000001</v>
      </c>
    </row>
    <row r="49" spans="1:6">
      <c r="A49" s="348" t="s">
        <v>32</v>
      </c>
      <c r="B49" s="348" t="s">
        <v>40</v>
      </c>
      <c r="C49" s="334">
        <v>0</v>
      </c>
      <c r="D49" s="334">
        <v>0</v>
      </c>
      <c r="E49" s="334">
        <v>0</v>
      </c>
      <c r="F49" s="334">
        <v>0</v>
      </c>
    </row>
    <row r="50" spans="1:6">
      <c r="A50" s="348" t="s">
        <v>32</v>
      </c>
      <c r="B50" s="348" t="s">
        <v>41</v>
      </c>
      <c r="C50" s="334">
        <v>6</v>
      </c>
      <c r="D50" s="334">
        <v>932999.09528999997</v>
      </c>
      <c r="E50" s="334">
        <v>15</v>
      </c>
      <c r="F50" s="334">
        <v>505739.02425999998</v>
      </c>
    </row>
    <row r="51" spans="1:6">
      <c r="A51" s="348" t="s">
        <v>42</v>
      </c>
      <c r="B51" s="348" t="s">
        <v>43</v>
      </c>
      <c r="C51" s="334">
        <v>0</v>
      </c>
      <c r="D51" s="334">
        <v>0</v>
      </c>
      <c r="E51" s="334">
        <v>5</v>
      </c>
      <c r="F51" s="334">
        <v>13964.582344</v>
      </c>
    </row>
    <row r="52" spans="1:6">
      <c r="A52" s="348" t="s">
        <v>42</v>
      </c>
      <c r="B52" s="348" t="s">
        <v>29</v>
      </c>
      <c r="C52" s="334">
        <v>3</v>
      </c>
      <c r="D52" s="334">
        <v>235293.36767000001</v>
      </c>
      <c r="E52" s="334">
        <v>6</v>
      </c>
      <c r="F52" s="334">
        <v>460547.28612</v>
      </c>
    </row>
    <row r="53" spans="1:6">
      <c r="A53" s="348" t="s">
        <v>44</v>
      </c>
      <c r="B53" s="348" t="s">
        <v>45</v>
      </c>
      <c r="C53" s="334">
        <v>210</v>
      </c>
      <c r="D53" s="334">
        <v>4812185.5672000004</v>
      </c>
      <c r="E53" s="334">
        <v>452</v>
      </c>
      <c r="F53" s="334">
        <v>1891299.4608</v>
      </c>
    </row>
    <row r="54" spans="1:6">
      <c r="A54" s="348" t="s">
        <v>46</v>
      </c>
      <c r="B54" s="348" t="s">
        <v>47</v>
      </c>
      <c r="C54" s="334">
        <v>0</v>
      </c>
      <c r="D54" s="334">
        <v>0</v>
      </c>
      <c r="E54" s="334">
        <v>1</v>
      </c>
      <c r="F54" s="334">
        <v>879743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4106723.5808000001</v>
      </c>
      <c r="E57" s="334">
        <v>72</v>
      </c>
      <c r="F57" s="334">
        <v>1931752.2596</v>
      </c>
    </row>
    <row r="58" spans="1:6">
      <c r="A58" s="348" t="s">
        <v>49</v>
      </c>
      <c r="B58" s="348" t="s">
        <v>51</v>
      </c>
      <c r="C58" s="334">
        <v>48</v>
      </c>
      <c r="D58" s="334">
        <v>37750614.358999997</v>
      </c>
      <c r="E58" s="334">
        <v>61</v>
      </c>
      <c r="F58" s="334">
        <v>15259302.831</v>
      </c>
    </row>
    <row r="59" spans="1:6">
      <c r="A59" s="348" t="s">
        <v>49</v>
      </c>
      <c r="B59" s="348" t="s">
        <v>52</v>
      </c>
      <c r="C59" s="334">
        <v>82</v>
      </c>
      <c r="D59" s="334">
        <v>3998182.7385</v>
      </c>
      <c r="E59" s="334">
        <v>137</v>
      </c>
      <c r="F59" s="334">
        <v>4876687.0382000003</v>
      </c>
    </row>
    <row r="60" spans="1:6">
      <c r="A60" s="348" t="s">
        <v>49</v>
      </c>
      <c r="B60" s="348" t="s">
        <v>53</v>
      </c>
      <c r="C60" s="334">
        <v>44</v>
      </c>
      <c r="D60" s="334">
        <v>3716110.236</v>
      </c>
      <c r="E60" s="334">
        <v>49</v>
      </c>
      <c r="F60" s="334">
        <v>1459491.2915000001</v>
      </c>
    </row>
    <row r="61" spans="1:6">
      <c r="A61" s="348" t="s">
        <v>49</v>
      </c>
      <c r="B61" s="348" t="s">
        <v>54</v>
      </c>
      <c r="C61" s="334">
        <v>274</v>
      </c>
      <c r="D61" s="334">
        <v>16688919.805</v>
      </c>
      <c r="E61" s="334">
        <v>529</v>
      </c>
      <c r="F61" s="334">
        <v>7597418.2912999997</v>
      </c>
    </row>
    <row r="62" spans="1:6">
      <c r="A62" s="348" t="s">
        <v>49</v>
      </c>
      <c r="B62" s="348" t="s">
        <v>55</v>
      </c>
      <c r="C62" s="334">
        <v>11</v>
      </c>
      <c r="D62" s="334">
        <v>1699681.2519</v>
      </c>
      <c r="E62" s="334">
        <v>15</v>
      </c>
      <c r="F62" s="334">
        <v>324618.29645000002</v>
      </c>
    </row>
    <row r="63" spans="1:6">
      <c r="A63" s="348" t="s">
        <v>49</v>
      </c>
      <c r="B63" s="348" t="s">
        <v>29</v>
      </c>
      <c r="C63" s="334">
        <v>94</v>
      </c>
      <c r="D63" s="334">
        <v>5401405.0716000004</v>
      </c>
      <c r="E63" s="334">
        <v>95</v>
      </c>
      <c r="F63" s="334">
        <v>3815215.8557000002</v>
      </c>
    </row>
    <row r="64" spans="1:6">
      <c r="A64" s="348" t="s">
        <v>56</v>
      </c>
      <c r="B64" s="348" t="s">
        <v>57</v>
      </c>
      <c r="C64" s="334">
        <v>0</v>
      </c>
      <c r="D64" s="334">
        <v>0</v>
      </c>
      <c r="E64" s="334">
        <v>0</v>
      </c>
      <c r="F64" s="334">
        <v>0</v>
      </c>
    </row>
    <row r="65" spans="1:6">
      <c r="A65" s="348" t="s">
        <v>56</v>
      </c>
      <c r="B65" s="348" t="s">
        <v>29</v>
      </c>
      <c r="C65" s="334">
        <v>2</v>
      </c>
      <c r="D65" s="334">
        <v>57677.871772999999</v>
      </c>
      <c r="E65" s="334">
        <v>2</v>
      </c>
      <c r="F65" s="334">
        <v>32110.759902999998</v>
      </c>
    </row>
    <row r="66" spans="1:6">
      <c r="A66" s="348" t="s">
        <v>56</v>
      </c>
      <c r="B66" s="348" t="s">
        <v>58</v>
      </c>
      <c r="C66" s="334">
        <v>0</v>
      </c>
      <c r="D66" s="334">
        <v>0</v>
      </c>
      <c r="E66" s="334">
        <v>7</v>
      </c>
      <c r="F66" s="334">
        <v>463745.21343</v>
      </c>
    </row>
    <row r="67" spans="1:6">
      <c r="A67" s="355" t="s">
        <v>56</v>
      </c>
      <c r="B67" s="355" t="s">
        <v>59</v>
      </c>
      <c r="C67" s="334">
        <v>0</v>
      </c>
      <c r="D67" s="334">
        <v>0</v>
      </c>
      <c r="E67" s="334">
        <v>0</v>
      </c>
      <c r="F67" s="334">
        <v>0</v>
      </c>
    </row>
    <row r="68" spans="1:6">
      <c r="A68" s="341" t="s">
        <v>56</v>
      </c>
      <c r="B68" s="341" t="s">
        <v>60</v>
      </c>
      <c r="C68" s="334">
        <v>0</v>
      </c>
      <c r="D68" s="334">
        <v>0</v>
      </c>
      <c r="E68" s="334">
        <v>3</v>
      </c>
      <c r="F68" s="334">
        <v>11008.634153999999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30619253</v>
      </c>
      <c r="E73" s="476">
        <v>34232607.532481834</v>
      </c>
    </row>
    <row r="74" spans="1:6">
      <c r="A74" s="348" t="s">
        <v>64</v>
      </c>
      <c r="B74" s="348" t="s">
        <v>667</v>
      </c>
      <c r="C74" s="1212" t="s">
        <v>669</v>
      </c>
      <c r="D74" s="476">
        <v>2208038.7351991655</v>
      </c>
      <c r="E74" s="476">
        <v>2323202.6823916472</v>
      </c>
    </row>
    <row r="75" spans="1:6">
      <c r="A75" s="348" t="s">
        <v>65</v>
      </c>
      <c r="B75" s="348" t="s">
        <v>666</v>
      </c>
      <c r="C75" s="1212" t="s">
        <v>670</v>
      </c>
      <c r="D75" s="476">
        <v>27921133</v>
      </c>
      <c r="E75" s="476">
        <v>31885882.676117107</v>
      </c>
    </row>
    <row r="76" spans="1:6">
      <c r="A76" s="348" t="s">
        <v>65</v>
      </c>
      <c r="B76" s="348" t="s">
        <v>667</v>
      </c>
      <c r="C76" s="1212" t="s">
        <v>671</v>
      </c>
      <c r="D76" s="476">
        <v>31594.800000000003</v>
      </c>
      <c r="E76" s="476">
        <v>31610.78631834696</v>
      </c>
    </row>
    <row r="77" spans="1:6">
      <c r="A77" s="348" t="s">
        <v>66</v>
      </c>
      <c r="B77" s="348" t="s">
        <v>666</v>
      </c>
      <c r="C77" s="1212" t="s">
        <v>672</v>
      </c>
      <c r="D77" s="476">
        <v>74559422</v>
      </c>
      <c r="E77" s="476">
        <v>79041968.046843186</v>
      </c>
    </row>
    <row r="78" spans="1:6">
      <c r="A78" s="341" t="s">
        <v>66</v>
      </c>
      <c r="B78" s="341" t="s">
        <v>667</v>
      </c>
      <c r="C78" s="341" t="s">
        <v>673</v>
      </c>
      <c r="D78" s="1213">
        <v>8345110</v>
      </c>
      <c r="E78" s="1213">
        <v>8702791.5129731055</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750964.52960166917</v>
      </c>
      <c r="C83" s="476">
        <v>750964.52960166917</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1297.0812784531813</v>
      </c>
    </row>
    <row r="92" spans="1:6">
      <c r="A92" s="341" t="s">
        <v>69</v>
      </c>
      <c r="B92" s="342">
        <v>259.55422423488579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6361</v>
      </c>
    </row>
    <row r="98" spans="1:6">
      <c r="A98" s="348" t="s">
        <v>72</v>
      </c>
      <c r="B98" s="334">
        <v>2</v>
      </c>
    </row>
    <row r="99" spans="1:6">
      <c r="A99" s="348" t="s">
        <v>73</v>
      </c>
      <c r="B99" s="334">
        <v>6</v>
      </c>
    </row>
    <row r="100" spans="1:6">
      <c r="A100" s="348" t="s">
        <v>74</v>
      </c>
      <c r="B100" s="334">
        <v>580</v>
      </c>
    </row>
    <row r="101" spans="1:6">
      <c r="A101" s="348" t="s">
        <v>75</v>
      </c>
      <c r="B101" s="334">
        <v>13</v>
      </c>
    </row>
    <row r="102" spans="1:6">
      <c r="A102" s="348" t="s">
        <v>76</v>
      </c>
      <c r="B102" s="334">
        <v>131</v>
      </c>
    </row>
    <row r="103" spans="1:6">
      <c r="A103" s="348" t="s">
        <v>77</v>
      </c>
      <c r="B103" s="334">
        <v>45</v>
      </c>
    </row>
    <row r="104" spans="1:6">
      <c r="A104" s="348" t="s">
        <v>78</v>
      </c>
      <c r="B104" s="334">
        <v>1767</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83</v>
      </c>
    </row>
    <row r="130" spans="1:6">
      <c r="A130" s="348" t="s">
        <v>295</v>
      </c>
      <c r="B130" s="334">
        <v>3</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87101.646929059149</v>
      </c>
      <c r="C3" s="43" t="s">
        <v>170</v>
      </c>
      <c r="D3" s="43"/>
      <c r="E3" s="154"/>
      <c r="F3" s="43"/>
      <c r="G3" s="43"/>
      <c r="H3" s="43"/>
      <c r="I3" s="43"/>
      <c r="J3" s="43"/>
      <c r="K3" s="96"/>
    </row>
    <row r="4" spans="1:11">
      <c r="A4" s="383" t="s">
        <v>171</v>
      </c>
      <c r="B4" s="49">
        <f>IF(ISERROR('SEAP template'!B69),0,'SEAP template'!B69)</f>
        <v>8576.6355026880665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1668.2823529411769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0.21839208038927332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2383.2605042016817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10028.571428571429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879.74300000000005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879.74300000000005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0.21839208038927332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192.12890397790051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31133.855505</v>
      </c>
      <c r="C5" s="17">
        <f>IF(ISERROR('Eigen informatie GS &amp; warmtenet'!B57),0,'Eigen informatie GS &amp; warmtenet'!B57)</f>
        <v>0</v>
      </c>
      <c r="D5" s="30">
        <f>(SUM(HH_hh_gas_kWh,HH_rest_gas_kWh)/1000)*0.902</f>
        <v>107703.55519647339</v>
      </c>
      <c r="E5" s="17">
        <f>B46*B57</f>
        <v>232.40162902061539</v>
      </c>
      <c r="F5" s="17">
        <f>B51*B62</f>
        <v>10983.179947174302</v>
      </c>
      <c r="G5" s="18"/>
      <c r="H5" s="17"/>
      <c r="I5" s="17"/>
      <c r="J5" s="17">
        <f>B50*B61+C50*C61</f>
        <v>0</v>
      </c>
      <c r="K5" s="17"/>
      <c r="L5" s="17"/>
      <c r="M5" s="17"/>
      <c r="N5" s="17">
        <f>B48*B59+C48*C59</f>
        <v>1430.0779040436075</v>
      </c>
      <c r="O5" s="17">
        <f>B69*B70*B71</f>
        <v>148.51666666666668</v>
      </c>
      <c r="P5" s="17">
        <f>B77*B78*B79/1000-B77*B78*B79/1000/B80</f>
        <v>533.86666666666667</v>
      </c>
    </row>
    <row r="6" spans="1:16">
      <c r="A6" s="16" t="s">
        <v>624</v>
      </c>
      <c r="B6" s="843">
        <f>kWh_PV_kleiner_dan_10kW</f>
        <v>1297.0812784531813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32430.93678345318</v>
      </c>
      <c r="C8" s="21">
        <f>C5</f>
        <v>0</v>
      </c>
      <c r="D8" s="21">
        <f>D5</f>
        <v>107703.55519647339</v>
      </c>
      <c r="E8" s="21">
        <f>E5</f>
        <v>232.40162902061539</v>
      </c>
      <c r="F8" s="21">
        <f>F5</f>
        <v>10983.179947174302</v>
      </c>
      <c r="G8" s="21"/>
      <c r="H8" s="21"/>
      <c r="I8" s="21"/>
      <c r="J8" s="21">
        <f>J5</f>
        <v>0</v>
      </c>
      <c r="K8" s="21"/>
      <c r="L8" s="21">
        <f>L5</f>
        <v>0</v>
      </c>
      <c r="M8" s="21">
        <f>M5</f>
        <v>0</v>
      </c>
      <c r="N8" s="21">
        <f>N5</f>
        <v>1430.0779040436075</v>
      </c>
      <c r="O8" s="21">
        <f>O5</f>
        <v>148.51666666666668</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0.21839208038927332</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7082.6597531113484</v>
      </c>
      <c r="C12" s="23">
        <f ca="1">C10*C8</f>
        <v>0</v>
      </c>
      <c r="D12" s="23">
        <f>D8*D10</f>
        <v>21756.118149687627</v>
      </c>
      <c r="E12" s="23">
        <f>E10*E8</f>
        <v>52.755169787679698</v>
      </c>
      <c r="F12" s="23">
        <f>F10*F8</f>
        <v>2932.5090458955387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6361</v>
      </c>
      <c r="C18" s="166" t="s">
        <v>111</v>
      </c>
      <c r="D18" s="228"/>
      <c r="E18" s="15"/>
    </row>
    <row r="19" spans="1:7">
      <c r="A19" s="171" t="s">
        <v>72</v>
      </c>
      <c r="B19" s="37">
        <f>aantalw2001_ander</f>
        <v>2</v>
      </c>
      <c r="C19" s="166" t="s">
        <v>111</v>
      </c>
      <c r="D19" s="229"/>
      <c r="E19" s="15"/>
    </row>
    <row r="20" spans="1:7">
      <c r="A20" s="171" t="s">
        <v>73</v>
      </c>
      <c r="B20" s="37">
        <f>aantalw2001_propaan</f>
        <v>6</v>
      </c>
      <c r="C20" s="167">
        <f>IF(ISERROR(B20/SUM($B$20,$B$21,$B$22)*100),0,B20/SUM($B$20,$B$21,$B$22)*100)</f>
        <v>1.001669449081803</v>
      </c>
      <c r="D20" s="229"/>
      <c r="E20" s="15"/>
    </row>
    <row r="21" spans="1:7">
      <c r="A21" s="171" t="s">
        <v>74</v>
      </c>
      <c r="B21" s="37">
        <f>aantalw2001_elektriciteit</f>
        <v>580</v>
      </c>
      <c r="C21" s="167">
        <f>IF(ISERROR(B21/SUM($B$20,$B$21,$B$22)*100),0,B21/SUM($B$20,$B$21,$B$22)*100)</f>
        <v>96.828046744574294</v>
      </c>
      <c r="D21" s="229"/>
      <c r="E21" s="15"/>
    </row>
    <row r="22" spans="1:7">
      <c r="A22" s="171" t="s">
        <v>75</v>
      </c>
      <c r="B22" s="37">
        <f>aantalw2001_hout</f>
        <v>13</v>
      </c>
      <c r="C22" s="167">
        <f>IF(ISERROR(B22/SUM($B$20,$B$21,$B$22)*100),0,B22/SUM($B$20,$B$21,$B$22)*100)</f>
        <v>2.1702838063439067</v>
      </c>
      <c r="D22" s="229"/>
      <c r="E22" s="15"/>
    </row>
    <row r="23" spans="1:7">
      <c r="A23" s="171" t="s">
        <v>76</v>
      </c>
      <c r="B23" s="37">
        <f>aantalw2001_niet_gespec</f>
        <v>131</v>
      </c>
      <c r="C23" s="166" t="s">
        <v>111</v>
      </c>
      <c r="D23" s="228"/>
      <c r="E23" s="15"/>
    </row>
    <row r="24" spans="1:7">
      <c r="A24" s="171" t="s">
        <v>77</v>
      </c>
      <c r="B24" s="37">
        <f>aantalw2001_steenkool</f>
        <v>45</v>
      </c>
      <c r="C24" s="166" t="s">
        <v>111</v>
      </c>
      <c r="D24" s="229"/>
      <c r="E24" s="15"/>
    </row>
    <row r="25" spans="1:7">
      <c r="A25" s="171" t="s">
        <v>78</v>
      </c>
      <c r="B25" s="37">
        <f>aantalw2001_stookolie</f>
        <v>1767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9328</v>
      </c>
      <c r="C28" s="36"/>
      <c r="D28" s="228"/>
    </row>
    <row r="29" spans="1:7" s="15" customFormat="1">
      <c r="A29" s="230" t="s">
        <v>699</v>
      </c>
      <c r="B29" s="37">
        <f>SUM(HH_hh_gas_aantal,HH_rest_gas_aantal)</f>
        <v>7823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7823</v>
      </c>
      <c r="C32" s="167">
        <f>IF(ISERROR(B32/SUM($B$32,$B$34,$B$35,$B$36,$B$38,$B$39)*100),0,B32/SUM($B$32,$B$34,$B$35,$B$36,$B$38,$B$39)*100)</f>
        <v>84.118279569892479</v>
      </c>
      <c r="D32" s="233"/>
      <c r="G32" s="15"/>
    </row>
    <row r="33" spans="1:7">
      <c r="A33" s="171" t="s">
        <v>72</v>
      </c>
      <c r="B33" s="34" t="s">
        <v>111</v>
      </c>
      <c r="C33" s="167"/>
      <c r="D33" s="233"/>
      <c r="G33" s="15"/>
    </row>
    <row r="34" spans="1:7">
      <c r="A34" s="171" t="s">
        <v>73</v>
      </c>
      <c r="B34" s="33">
        <f>IF((($B$28-$B$32-$B$39-$B$77-$B$38)*C20/100)&lt;0,0,($B$28-$B$32-$B$39-$B$77-$B$38)*C20/100)</f>
        <v>10.275125208681134</v>
      </c>
      <c r="C34" s="167">
        <f>IF(ISERROR(B34/SUM($B$32,$B$34,$B$35,$B$36,$B$38,$B$39)*100),0,B34/SUM($B$32,$B$34,$B$35,$B$36,$B$38,$B$39)*100)</f>
        <v>0.1104852172976466</v>
      </c>
      <c r="D34" s="233"/>
      <c r="G34" s="15"/>
    </row>
    <row r="35" spans="1:7">
      <c r="A35" s="171" t="s">
        <v>74</v>
      </c>
      <c r="B35" s="33">
        <f>IF((($B$28-$B$32-$B$39-$B$77-$B$38)*C21/100)&lt;0,0,($B$28-$B$32-$B$39-$B$77-$B$38)*C21/100)</f>
        <v>993.26210350584313</v>
      </c>
      <c r="C35" s="167">
        <f>IF(ISERROR(B35/SUM($B$32,$B$34,$B$35,$B$36,$B$38,$B$39)*100),0,B35/SUM($B$32,$B$34,$B$35,$B$36,$B$38,$B$39)*100)</f>
        <v>10.680237672105839</v>
      </c>
      <c r="D35" s="233"/>
      <c r="G35" s="15"/>
    </row>
    <row r="36" spans="1:7">
      <c r="A36" s="171" t="s">
        <v>75</v>
      </c>
      <c r="B36" s="33">
        <f>IF((($B$28-$B$32-$B$39-$B$77-$B$38)*C22/100)&lt;0,0,($B$28-$B$32-$B$39-$B$77-$B$38)*C22/100)</f>
        <v>22.262771285475793</v>
      </c>
      <c r="C36" s="167">
        <f>IF(ISERROR(B36/SUM($B$32,$B$34,$B$35,$B$36,$B$38,$B$39)*100),0,B36/SUM($B$32,$B$34,$B$35,$B$36,$B$38,$B$39)*100)</f>
        <v>0.23938463747823435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451.20000000000005</v>
      </c>
      <c r="C39" s="167">
        <f>IF(ISERROR(B39/SUM($B$32,$B$34,$B$35,$B$36,$B$38,$B$39)*100),0,B39/SUM($B$32,$B$34,$B$35,$B$36,$B$38,$B$39)*100)</f>
        <v>4.8516129032258073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7823</v>
      </c>
      <c r="C44" s="34" t="s">
        <v>111</v>
      </c>
      <c r="D44" s="174"/>
    </row>
    <row r="45" spans="1:7">
      <c r="A45" s="171" t="s">
        <v>72</v>
      </c>
      <c r="B45" s="33" t="str">
        <f t="shared" si="0"/>
        <v>-</v>
      </c>
      <c r="C45" s="34" t="s">
        <v>111</v>
      </c>
      <c r="D45" s="174"/>
    </row>
    <row r="46" spans="1:7">
      <c r="A46" s="171" t="s">
        <v>73</v>
      </c>
      <c r="B46" s="33">
        <f t="shared" si="0"/>
        <v>10.275125208681134</v>
      </c>
      <c r="C46" s="34" t="s">
        <v>111</v>
      </c>
      <c r="D46" s="174"/>
    </row>
    <row r="47" spans="1:7">
      <c r="A47" s="171" t="s">
        <v>74</v>
      </c>
      <c r="B47" s="33">
        <f t="shared" si="0"/>
        <v>993.26210350584313</v>
      </c>
      <c r="C47" s="34" t="s">
        <v>111</v>
      </c>
      <c r="D47" s="174"/>
    </row>
    <row r="48" spans="1:7">
      <c r="A48" s="171" t="s">
        <v>75</v>
      </c>
      <c r="B48" s="33">
        <f t="shared" si="0"/>
        <v>22.262771285475793</v>
      </c>
      <c r="C48" s="33">
        <f>B48*10</f>
        <v>222.62771285475793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451.20000000000005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35264.48586375</v>
      </c>
      <c r="C5" s="17">
        <f>IF(ISERROR('Eigen informatie GS &amp; warmtenet'!B58),0,'Eigen informatie GS &amp; warmtenet'!B58)</f>
        <v>0</v>
      </c>
      <c r="D5" s="30">
        <f>SUM(D6:D12)</f>
        <v>66172.196612605607</v>
      </c>
      <c r="E5" s="17">
        <f>SUM(E6:E12)</f>
        <v>374.27840289116898</v>
      </c>
      <c r="F5" s="17">
        <f>SUM(F6:F12)</f>
        <v>8259.6652589176774</v>
      </c>
      <c r="G5" s="18"/>
      <c r="H5" s="17"/>
      <c r="I5" s="17"/>
      <c r="J5" s="17">
        <f>SUM(J6:J12)</f>
        <v>0</v>
      </c>
      <c r="K5" s="17"/>
      <c r="L5" s="17"/>
      <c r="M5" s="17"/>
      <c r="N5" s="17">
        <f>SUM(N6:N12)</f>
        <v>2052.6073937946749</v>
      </c>
      <c r="O5" s="17">
        <f>B38*B39*B40</f>
        <v>4.6900000000000004</v>
      </c>
      <c r="P5" s="17">
        <f>B46*B47*B48/1000-B46*B47*B48/1000/B49</f>
        <v>0</v>
      </c>
      <c r="R5" s="32"/>
    </row>
    <row r="6" spans="1:18">
      <c r="A6" s="32" t="s">
        <v>54</v>
      </c>
      <c r="B6" s="37">
        <f>B26</f>
        <v>7597.4182912999995</v>
      </c>
      <c r="C6" s="33"/>
      <c r="D6" s="37">
        <f>IF(ISERROR(TER_kantoor_gas_kWh/1000),0,TER_kantoor_gas_kWh/1000)*0.902</f>
        <v>15053.405664110001</v>
      </c>
      <c r="E6" s="33">
        <f>$C$26*'E Balans VL '!I12/100/3.6*1000000</f>
        <v>99.459564095408169</v>
      </c>
      <c r="F6" s="33">
        <f>$C$26*('E Balans VL '!L12+'E Balans VL '!N12)/100/3.6*1000000</f>
        <v>1937.2631554935658</v>
      </c>
      <c r="G6" s="34"/>
      <c r="H6" s="33"/>
      <c r="I6" s="33"/>
      <c r="J6" s="33">
        <f>$C$26*('E Balans VL '!D12+'E Balans VL '!E12)/100/3.6*1000000</f>
        <v>0</v>
      </c>
      <c r="K6" s="33"/>
      <c r="L6" s="33"/>
      <c r="M6" s="33"/>
      <c r="N6" s="33">
        <f>$C$26*'E Balans VL '!Y12/100/3.6*1000000</f>
        <v>7.6230021904568854</v>
      </c>
      <c r="O6" s="33"/>
      <c r="P6" s="33"/>
      <c r="R6" s="32"/>
    </row>
    <row r="7" spans="1:18">
      <c r="A7" s="32" t="s">
        <v>53</v>
      </c>
      <c r="B7" s="37">
        <f t="shared" ref="B7:B12" si="0">B27</f>
        <v>1459.4912915</v>
      </c>
      <c r="C7" s="33"/>
      <c r="D7" s="37">
        <f>IF(ISERROR(TER_horeca_gas_kWh/1000),0,TER_horeca_gas_kWh/1000)*0.902</f>
        <v>3351.9314328720002</v>
      </c>
      <c r="E7" s="33">
        <f>$C$27*'E Balans VL '!I9/100/3.6*1000000</f>
        <v>48.300283960937541</v>
      </c>
      <c r="F7" s="33">
        <f>$C$27*('E Balans VL '!L9+'E Balans VL '!N9)/100/3.6*1000000</f>
        <v>627.57566189684644</v>
      </c>
      <c r="G7" s="34"/>
      <c r="H7" s="33"/>
      <c r="I7" s="33"/>
      <c r="J7" s="33">
        <f>$C$27*('E Balans VL '!D9+'E Balans VL '!E9)/100/3.6*1000000</f>
        <v>0</v>
      </c>
      <c r="K7" s="33"/>
      <c r="L7" s="33"/>
      <c r="M7" s="33"/>
      <c r="N7" s="33">
        <f>$C$27*'E Balans VL '!Y9/100/3.6*1000000</f>
        <v>0.35132074800346613</v>
      </c>
      <c r="O7" s="33"/>
      <c r="P7" s="33"/>
      <c r="R7" s="32"/>
    </row>
    <row r="8" spans="1:18">
      <c r="A8" s="6" t="s">
        <v>52</v>
      </c>
      <c r="B8" s="37">
        <f t="shared" si="0"/>
        <v>4876.6870382000006</v>
      </c>
      <c r="C8" s="33"/>
      <c r="D8" s="37">
        <f>IF(ISERROR(TER_handel_gas_kWh/1000),0,TER_handel_gas_kWh/1000)*0.902</f>
        <v>3606.3608301270001</v>
      </c>
      <c r="E8" s="33">
        <f>$C$28*'E Balans VL '!I13/100/3.6*1000000</f>
        <v>153.91569428158496</v>
      </c>
      <c r="F8" s="33">
        <f>$C$28*('E Balans VL '!L13+'E Balans VL '!N13)/100/3.6*1000000</f>
        <v>956.40420131828637</v>
      </c>
      <c r="G8" s="34"/>
      <c r="H8" s="33"/>
      <c r="I8" s="33"/>
      <c r="J8" s="33">
        <f>$C$28*('E Balans VL '!D13+'E Balans VL '!E13)/100/3.6*1000000</f>
        <v>0</v>
      </c>
      <c r="K8" s="33"/>
      <c r="L8" s="33"/>
      <c r="M8" s="33"/>
      <c r="N8" s="33">
        <f>$C$28*'E Balans VL '!Y13/100/3.6*1000000</f>
        <v>5.7876807171782572</v>
      </c>
      <c r="O8" s="33"/>
      <c r="P8" s="33"/>
      <c r="R8" s="32"/>
    </row>
    <row r="9" spans="1:18">
      <c r="A9" s="32" t="s">
        <v>51</v>
      </c>
      <c r="B9" s="37">
        <f t="shared" si="0"/>
        <v>15259.302831000001</v>
      </c>
      <c r="C9" s="33"/>
      <c r="D9" s="37">
        <f>IF(ISERROR(TER_gezond_gas_kWh/1000),0,TER_gezond_gas_kWh/1000)*0.902</f>
        <v>34051.054151818003</v>
      </c>
      <c r="E9" s="33">
        <f>$C$29*'E Balans VL '!I10/100/3.6*1000000</f>
        <v>1.9536371633675196</v>
      </c>
      <c r="F9" s="33">
        <f>$C$29*('E Balans VL '!L10+'E Balans VL '!N10)/100/3.6*1000000</f>
        <v>3179.1523556918551</v>
      </c>
      <c r="G9" s="34"/>
      <c r="H9" s="33"/>
      <c r="I9" s="33"/>
      <c r="J9" s="33">
        <f>$C$29*('E Balans VL '!D10+'E Balans VL '!E10)/100/3.6*1000000</f>
        <v>0</v>
      </c>
      <c r="K9" s="33"/>
      <c r="L9" s="33"/>
      <c r="M9" s="33"/>
      <c r="N9" s="33">
        <f>$C$29*'E Balans VL '!Y10/100/3.6*1000000</f>
        <v>179.22772424480951</v>
      </c>
      <c r="O9" s="33"/>
      <c r="P9" s="33"/>
      <c r="R9" s="32"/>
    </row>
    <row r="10" spans="1:18">
      <c r="A10" s="32" t="s">
        <v>50</v>
      </c>
      <c r="B10" s="37">
        <f t="shared" si="0"/>
        <v>1931.7522595999999</v>
      </c>
      <c r="C10" s="33"/>
      <c r="D10" s="37">
        <f>IF(ISERROR(TER_ander_gas_kWh/1000),0,TER_ander_gas_kWh/1000)*0.902</f>
        <v>3704.2646698816006</v>
      </c>
      <c r="E10" s="33">
        <f>$C$30*'E Balans VL '!I14/100/3.6*1000000</f>
        <v>2.9049011167825536</v>
      </c>
      <c r="F10" s="33">
        <f>$C$30*('E Balans VL '!L14+'E Balans VL '!N14)/100/3.6*1000000</f>
        <v>426.46862966411203</v>
      </c>
      <c r="G10" s="34"/>
      <c r="H10" s="33"/>
      <c r="I10" s="33"/>
      <c r="J10" s="33">
        <f>$C$30*('E Balans VL '!D14+'E Balans VL '!E14)/100/3.6*1000000</f>
        <v>0</v>
      </c>
      <c r="K10" s="33"/>
      <c r="L10" s="33"/>
      <c r="M10" s="33"/>
      <c r="N10" s="33">
        <f>$C$30*'E Balans VL '!Y14/100/3.6*1000000</f>
        <v>1522.3507825903068</v>
      </c>
      <c r="O10" s="33"/>
      <c r="P10" s="33"/>
      <c r="R10" s="32"/>
    </row>
    <row r="11" spans="1:18">
      <c r="A11" s="32" t="s">
        <v>55</v>
      </c>
      <c r="B11" s="37">
        <f t="shared" si="0"/>
        <v>324.61829645</v>
      </c>
      <c r="C11" s="33"/>
      <c r="D11" s="37">
        <f>IF(ISERROR(TER_onderwijs_gas_kWh/1000),0,TER_onderwijs_gas_kWh/1000)*0.902</f>
        <v>1533.1124892138</v>
      </c>
      <c r="E11" s="33">
        <f>$C$31*'E Balans VL '!I11/100/3.6*1000000</f>
        <v>0.57168002296766185</v>
      </c>
      <c r="F11" s="33">
        <f>$C$31*('E Balans VL '!L11+'E Balans VL '!N11)/100/3.6*1000000</f>
        <v>149.88214142932418</v>
      </c>
      <c r="G11" s="34"/>
      <c r="H11" s="33"/>
      <c r="I11" s="33"/>
      <c r="J11" s="33">
        <f>$C$31*('E Balans VL '!D11+'E Balans VL '!E11)/100/3.6*1000000</f>
        <v>0</v>
      </c>
      <c r="K11" s="33"/>
      <c r="L11" s="33"/>
      <c r="M11" s="33"/>
      <c r="N11" s="33">
        <f>$C$31*'E Balans VL '!Y11/100/3.6*1000000</f>
        <v>0.60476837536093697</v>
      </c>
      <c r="O11" s="33"/>
      <c r="P11" s="33"/>
      <c r="R11" s="32"/>
    </row>
    <row r="12" spans="1:18">
      <c r="A12" s="32" t="s">
        <v>260</v>
      </c>
      <c r="B12" s="37">
        <f t="shared" si="0"/>
        <v>3815.2158557000002</v>
      </c>
      <c r="C12" s="33"/>
      <c r="D12" s="37">
        <f>IF(ISERROR(TER_rest_gas_kWh/1000),0,TER_rest_gas_kWh/1000)*0.902</f>
        <v>4872.0673745832</v>
      </c>
      <c r="E12" s="33">
        <f>$C$32*'E Balans VL '!I8/100/3.6*1000000</f>
        <v>67.172642250120603</v>
      </c>
      <c r="F12" s="33">
        <f>$C$32*('E Balans VL '!L8+'E Balans VL '!N8)/100/3.6*1000000</f>
        <v>982.91911342368633</v>
      </c>
      <c r="G12" s="34"/>
      <c r="H12" s="33"/>
      <c r="I12" s="33"/>
      <c r="J12" s="33">
        <f>$C$32*('E Balans VL '!D8+'E Balans VL '!E8)/100/3.6*1000000</f>
        <v>0</v>
      </c>
      <c r="K12" s="33"/>
      <c r="L12" s="33"/>
      <c r="M12" s="33"/>
      <c r="N12" s="33">
        <f>$C$32*'E Balans VL '!Y8/100/3.6*1000000</f>
        <v>336.66211492855894</v>
      </c>
      <c r="O12" s="33"/>
      <c r="P12" s="33"/>
      <c r="R12" s="32"/>
    </row>
    <row r="13" spans="1:18">
      <c r="A13" s="16" t="s">
        <v>491</v>
      </c>
      <c r="B13" s="247">
        <f ca="1">'lokale energieproductie'!N90+'lokale energieproductie'!N59</f>
        <v>7020</v>
      </c>
      <c r="C13" s="247">
        <f ca="1">'lokale energieproductie'!O90+'lokale energieproductie'!O59</f>
        <v>10028.571428571429</v>
      </c>
      <c r="D13" s="310">
        <f ca="1">('lokale energieproductie'!P59+'lokale energieproductie'!P90)*(-1)</f>
        <v>-20057.142857142859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42284.48586375</v>
      </c>
      <c r="C16" s="21">
        <f t="shared" ca="1" si="1"/>
        <v>10028.571428571429</v>
      </c>
      <c r="D16" s="21">
        <f t="shared" ca="1" si="1"/>
        <v>46115.053755462752</v>
      </c>
      <c r="E16" s="21">
        <f t="shared" si="1"/>
        <v>374.27840289116898</v>
      </c>
      <c r="F16" s="21">
        <f t="shared" ca="1" si="1"/>
        <v>8259.6652589176774</v>
      </c>
      <c r="G16" s="21">
        <f t="shared" si="1"/>
        <v>0</v>
      </c>
      <c r="H16" s="21">
        <f t="shared" si="1"/>
        <v>0</v>
      </c>
      <c r="I16" s="21">
        <f t="shared" si="1"/>
        <v>0</v>
      </c>
      <c r="J16" s="21">
        <f t="shared" si="1"/>
        <v>0</v>
      </c>
      <c r="K16" s="21">
        <f t="shared" si="1"/>
        <v>0</v>
      </c>
      <c r="L16" s="21">
        <f t="shared" ca="1" si="1"/>
        <v>0</v>
      </c>
      <c r="M16" s="21">
        <f t="shared" si="1"/>
        <v>0</v>
      </c>
      <c r="N16" s="21">
        <f t="shared" ca="1" si="1"/>
        <v>2052.6073937946749</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0.21839208038927332</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9234.5968359751823</v>
      </c>
      <c r="C20" s="23">
        <f t="shared" ref="C20:P20" ca="1" si="2">C16*C18</f>
        <v>2383.2605042016817</v>
      </c>
      <c r="D20" s="23">
        <f t="shared" ca="1" si="2"/>
        <v>9315.2408586034762</v>
      </c>
      <c r="E20" s="23">
        <f t="shared" si="2"/>
        <v>84.961197456295366</v>
      </c>
      <c r="F20" s="23">
        <f t="shared" ca="1" si="2"/>
        <v>2205.3306241310202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7597.4182912999995</v>
      </c>
      <c r="C26" s="39">
        <f>IF(ISERROR(B26*3.6/1000000/'E Balans VL '!Z12*100),0,B26*3.6/1000000/'E Balans VL '!Z12*100)</f>
        <v>0.16274260200408744</v>
      </c>
      <c r="D26" s="237" t="s">
        <v>660</v>
      </c>
      <c r="F26" s="6"/>
    </row>
    <row r="27" spans="1:18">
      <c r="A27" s="231" t="s">
        <v>53</v>
      </c>
      <c r="B27" s="33">
        <f>IF(ISERROR(TER_horeca_ele_kWh/1000),0,TER_horeca_ele_kWh/1000)</f>
        <v>1459.4912915</v>
      </c>
      <c r="C27" s="39">
        <f>IF(ISERROR(B27*3.6/1000000/'E Balans VL '!Z9*100),0,B27*3.6/1000000/'E Balans VL '!Z9*100)</f>
        <v>0.11711910300292813</v>
      </c>
      <c r="D27" s="237" t="s">
        <v>660</v>
      </c>
      <c r="F27" s="6"/>
    </row>
    <row r="28" spans="1:18">
      <c r="A28" s="171" t="s">
        <v>52</v>
      </c>
      <c r="B28" s="33">
        <f>IF(ISERROR(TER_handel_ele_kWh/1000),0,TER_handel_ele_kWh/1000)</f>
        <v>4876.6870382000006</v>
      </c>
      <c r="C28" s="39">
        <f>IF(ISERROR(B28*3.6/1000000/'E Balans VL '!Z13*100),0,B28*3.6/1000000/'E Balans VL '!Z13*100)</f>
        <v>0.14383429606574383</v>
      </c>
      <c r="D28" s="237" t="s">
        <v>660</v>
      </c>
      <c r="F28" s="6"/>
    </row>
    <row r="29" spans="1:18">
      <c r="A29" s="231" t="s">
        <v>51</v>
      </c>
      <c r="B29" s="33">
        <f>IF(ISERROR(TER_gezond_ele_kWh/1000),0,TER_gezond_ele_kWh/1000)</f>
        <v>15259.302831000001</v>
      </c>
      <c r="C29" s="39">
        <f>IF(ISERROR(B29*3.6/1000000/'E Balans VL '!Z10*100),0,B29*3.6/1000000/'E Balans VL '!Z10*100)</f>
        <v>1.6292844251001304</v>
      </c>
      <c r="D29" s="237" t="s">
        <v>660</v>
      </c>
      <c r="F29" s="6"/>
    </row>
    <row r="30" spans="1:18">
      <c r="A30" s="231" t="s">
        <v>50</v>
      </c>
      <c r="B30" s="33">
        <f>IF(ISERROR(TER_ander_ele_kWh/1000),0,TER_ander_ele_kWh/1000)</f>
        <v>1931.7522595999999</v>
      </c>
      <c r="C30" s="39">
        <f>IF(ISERROR(B30*3.6/1000000/'E Balans VL '!Z14*100),0,B30*3.6/1000000/'E Balans VL '!Z14*100)</f>
        <v>0.14591283385273013</v>
      </c>
      <c r="D30" s="237" t="s">
        <v>660</v>
      </c>
      <c r="F30" s="6"/>
    </row>
    <row r="31" spans="1:18">
      <c r="A31" s="231" t="s">
        <v>55</v>
      </c>
      <c r="B31" s="33">
        <f>IF(ISERROR(TER_onderwijs_ele_kWh/1000),0,TER_onderwijs_ele_kWh/1000)</f>
        <v>324.61829645</v>
      </c>
      <c r="C31" s="39">
        <f>IF(ISERROR(B31*3.6/1000000/'E Balans VL '!Z11*100),0,B31*3.6/1000000/'E Balans VL '!Z11*100)</f>
        <v>6.5551270649163176E-2</v>
      </c>
      <c r="D31" s="237" t="s">
        <v>660</v>
      </c>
    </row>
    <row r="32" spans="1:18">
      <c r="A32" s="231" t="s">
        <v>260</v>
      </c>
      <c r="B32" s="33">
        <f>IF(ISERROR(TER_rest_ele_kWh/1000),0,TER_rest_ele_kWh/1000)</f>
        <v>3815.2158557000002</v>
      </c>
      <c r="C32" s="39">
        <f>IF(ISERROR(B32*3.6/1000000/'E Balans VL '!Z8*100),0,B32*3.6/1000000/'E Balans VL '!Z8*100)</f>
        <v>3.1633452093505973E-2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11000.779437580002</v>
      </c>
      <c r="C5" s="17">
        <f>IF(ISERROR('Eigen informatie GS &amp; warmtenet'!B59),0,'Eigen informatie GS &amp; warmtenet'!B59)</f>
        <v>0</v>
      </c>
      <c r="D5" s="30">
        <f>SUM(D6:D15)</f>
        <v>11108.510847662579</v>
      </c>
      <c r="E5" s="17">
        <f>SUM(E6:E15)</f>
        <v>673.38626269037059</v>
      </c>
      <c r="F5" s="17">
        <f>SUM(F6:F15)</f>
        <v>2692.8966430752666</v>
      </c>
      <c r="G5" s="18"/>
      <c r="H5" s="17"/>
      <c r="I5" s="17"/>
      <c r="J5" s="17">
        <f>SUM(J6:J15)</f>
        <v>81.41505781997202</v>
      </c>
      <c r="K5" s="17"/>
      <c r="L5" s="17"/>
      <c r="M5" s="17"/>
      <c r="N5" s="17">
        <f>SUM(N6:N15)</f>
        <v>2353.4347107104013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452.62060231999999</v>
      </c>
      <c r="C9" s="33"/>
      <c r="D9" s="37">
        <f>IF( ISERROR(IND_andere_gas_kWh/1000),0,IND_andere_gas_kWh/1000)*0.902</f>
        <v>1734.0188122994</v>
      </c>
      <c r="E9" s="33">
        <f>C31*'E Balans VL '!I19/100/3.6*1000000</f>
        <v>115.49853688410157</v>
      </c>
      <c r="F9" s="33">
        <f>C31*'E Balans VL '!L19/100/3.6*1000000+C31*'E Balans VL '!N19/100/3.6*1000000</f>
        <v>389.67231831045444</v>
      </c>
      <c r="G9" s="34"/>
      <c r="H9" s="33"/>
      <c r="I9" s="33"/>
      <c r="J9" s="40">
        <f>C31*'E Balans VL '!D19/100/3.6*1000000+C31*'E Balans VL '!E19/100/3.6*1000000</f>
        <v>0</v>
      </c>
      <c r="K9" s="33"/>
      <c r="L9" s="33"/>
      <c r="M9" s="33"/>
      <c r="N9" s="33">
        <f>C31*'E Balans VL '!Y19/100/3.6*1000000</f>
        <v>141.54996298222588</v>
      </c>
      <c r="O9" s="33"/>
      <c r="P9" s="33"/>
      <c r="R9" s="32"/>
    </row>
    <row r="10" spans="1:18">
      <c r="A10" s="6" t="s">
        <v>41</v>
      </c>
      <c r="B10" s="37">
        <f t="shared" si="0"/>
        <v>505.73902425999995</v>
      </c>
      <c r="C10" s="33"/>
      <c r="D10" s="37">
        <f>IF( ISERROR(IND_voed_gas_kWh/1000),0,IND_voed_gas_kWh/1000)*0.902</f>
        <v>841.56518395158002</v>
      </c>
      <c r="E10" s="33">
        <f>C32*'E Balans VL '!I20/100/3.6*1000000</f>
        <v>12.856580433277413</v>
      </c>
      <c r="F10" s="33">
        <f>C32*'E Balans VL '!L20/100/3.6*1000000+C32*'E Balans VL '!N20/100/3.6*1000000</f>
        <v>114.44114939256681</v>
      </c>
      <c r="G10" s="34"/>
      <c r="H10" s="33"/>
      <c r="I10" s="33"/>
      <c r="J10" s="40">
        <f>C32*'E Balans VL '!D20/100/3.6*1000000+C32*'E Balans VL '!E20/100/3.6*1000000</f>
        <v>0</v>
      </c>
      <c r="K10" s="33"/>
      <c r="L10" s="33"/>
      <c r="M10" s="33"/>
      <c r="N10" s="33">
        <f>C32*'E Balans VL '!Y20/100/3.6*1000000</f>
        <v>189.6658426929618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10042.419811000002</v>
      </c>
      <c r="C15" s="33"/>
      <c r="D15" s="37">
        <f>IF( ISERROR(IND_rest_gas_kWh/1000),0,IND_rest_gas_kWh/1000)*0.902</f>
        <v>8532.9268514115993</v>
      </c>
      <c r="E15" s="33">
        <f>C37*'E Balans VL '!I15/100/3.6*1000000</f>
        <v>545.03114537299166</v>
      </c>
      <c r="F15" s="33">
        <f>C37*'E Balans VL '!L15/100/3.6*1000000+C37*'E Balans VL '!N15/100/3.6*1000000</f>
        <v>2188.7831753722453</v>
      </c>
      <c r="G15" s="34"/>
      <c r="H15" s="33"/>
      <c r="I15" s="33"/>
      <c r="J15" s="40">
        <f>C37*'E Balans VL '!D15/100/3.6*1000000+C37*'E Balans VL '!E15/100/3.6*1000000</f>
        <v>81.41505781997202</v>
      </c>
      <c r="K15" s="33"/>
      <c r="L15" s="33"/>
      <c r="M15" s="33"/>
      <c r="N15" s="33">
        <f>C37*'E Balans VL '!Y15/100/3.6*1000000</f>
        <v>2022.2189050352135</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11000.779437580002</v>
      </c>
      <c r="C18" s="21">
        <f>C5+C16</f>
        <v>0</v>
      </c>
      <c r="D18" s="21">
        <f>MAX((D5+D16),0)</f>
        <v>11108.510847662579</v>
      </c>
      <c r="E18" s="21">
        <f>MAX((E5+E16),0)</f>
        <v>673.38626269037059</v>
      </c>
      <c r="F18" s="21">
        <f>MAX((F5+F16),0)</f>
        <v>2692.8966430752666</v>
      </c>
      <c r="G18" s="21"/>
      <c r="H18" s="21"/>
      <c r="I18" s="21"/>
      <c r="J18" s="21">
        <f>MAX((J5+J16),0)</f>
        <v>81.41505781997202</v>
      </c>
      <c r="K18" s="21"/>
      <c r="L18" s="21">
        <f>MAX((L5+L16),0)</f>
        <v>0</v>
      </c>
      <c r="M18" s="21"/>
      <c r="N18" s="21">
        <f>MAX((N5+N16),0)</f>
        <v>2353.4347107104013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0.21839208038927332</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2402.4831072766369</v>
      </c>
      <c r="C22" s="23">
        <f ca="1">C18*C20</f>
        <v>0</v>
      </c>
      <c r="D22" s="23">
        <f>D18*D20</f>
        <v>2243.9191912278411</v>
      </c>
      <c r="E22" s="23">
        <f>E18*E20</f>
        <v>152.85868163071413</v>
      </c>
      <c r="F22" s="23">
        <f>F18*F20</f>
        <v>719.0034037010962</v>
      </c>
      <c r="G22" s="23"/>
      <c r="H22" s="23"/>
      <c r="I22" s="23"/>
      <c r="J22" s="23">
        <f>J18*J20</f>
        <v>28.820930468270095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452.62060231999999</v>
      </c>
      <c r="C31" s="39">
        <f>IF(ISERROR(B31*3.6/1000000/'E Balans VL '!Z19*100),0,B31*3.6/1000000/'E Balans VL '!Z19*100)</f>
        <v>1.9051828901470412E-2</v>
      </c>
      <c r="D31" s="237" t="s">
        <v>660</v>
      </c>
    </row>
    <row r="32" spans="1:18">
      <c r="A32" s="171" t="s">
        <v>41</v>
      </c>
      <c r="B32" s="37">
        <f>IF( ISERROR(IND_voed_ele_kWh/1000),0,IND_voed_ele_kWh/1000)</f>
        <v>505.73902425999995</v>
      </c>
      <c r="C32" s="39">
        <f>IF(ISERROR(B32*3.6/1000000/'E Balans VL '!Z20*100),0,B32*3.6/1000000/'E Balans VL '!Z20*100)</f>
        <v>8.4489426046149382E-2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10042.419811000002</v>
      </c>
      <c r="C37" s="39">
        <f>IF(ISERROR(B37*3.6/1000000/'E Balans VL '!Z15*100),0,B37*3.6/1000000/'E Balans VL '!Z15*100)</f>
        <v>8.107634373738308E-2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474.51186846399997</v>
      </c>
      <c r="C5" s="17">
        <f>'Eigen informatie GS &amp; warmtenet'!B60</f>
        <v>0</v>
      </c>
      <c r="D5" s="30">
        <f>IF(ISERROR(SUM(LB_lb_gas_kWh,LB_rest_gas_kWh,onbekend_gas_kWh)/1000),0,SUM(LB_lb_gas_kWh,LB_rest_gas_kWh,onbekend_gas_kWh)/1000)*0.902</f>
        <v>4552.8259992527401</v>
      </c>
      <c r="E5" s="17">
        <f>B17*'E Balans VL '!I25/3.6*1000000/100</f>
        <v>12.235839172751909</v>
      </c>
      <c r="F5" s="17">
        <f>B17*('E Balans VL '!L25/3.6*1000000+'E Balans VL '!N25/3.6*1000000)/100</f>
        <v>1734.4312456315279</v>
      </c>
      <c r="G5" s="18"/>
      <c r="H5" s="17"/>
      <c r="I5" s="17"/>
      <c r="J5" s="17">
        <f>('E Balans VL '!D25+'E Balans VL '!E25)/3.6*1000000*landbouw!B17/100</f>
        <v>68.312253353433221</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474.51186846399997</v>
      </c>
      <c r="C8" s="21">
        <f>C5+C6</f>
        <v>0</v>
      </c>
      <c r="D8" s="21">
        <f>MAX((D5+D6),0)</f>
        <v>4552.8259992527401</v>
      </c>
      <c r="E8" s="21">
        <f>MAX((E5+E6),0)</f>
        <v>12.235839172751909</v>
      </c>
      <c r="F8" s="21">
        <f>MAX((F5+F6),0)</f>
        <v>1734.4312456315279</v>
      </c>
      <c r="G8" s="21"/>
      <c r="H8" s="21"/>
      <c r="I8" s="21"/>
      <c r="J8" s="21">
        <f>MAX((J5+J6),0)</f>
        <v>68.312253353433221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0.21839208038927332</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103.62963412325418</v>
      </c>
      <c r="C12" s="23">
        <f ca="1">C8*C10</f>
        <v>0</v>
      </c>
      <c r="D12" s="23">
        <f>D8*D10</f>
        <v>919.67085184905352</v>
      </c>
      <c r="E12" s="23">
        <f>E8*E10</f>
        <v>2.7775354922146835</v>
      </c>
      <c r="F12" s="23">
        <f>F8*F10</f>
        <v>463.09314258361798</v>
      </c>
      <c r="G12" s="23"/>
      <c r="H12" s="23"/>
      <c r="I12" s="23"/>
      <c r="J12" s="23">
        <f>J8*J10</f>
        <v>24.18253768711536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6.6909316549563461E-2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20.547915422237899</v>
      </c>
      <c r="C26" s="247">
        <f>B26*'GWP N2O_CH4'!B5</f>
        <v>431.50622386699587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4.163228841535112</v>
      </c>
      <c r="C27" s="247">
        <f>B27*'GWP N2O_CH4'!B5</f>
        <v>87.427805672237355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0.21579312137159451</v>
      </c>
      <c r="C28" s="247">
        <f>B28*'GWP N2O_CH4'!B4</f>
        <v>66.895867625194299</v>
      </c>
      <c r="D28" s="50"/>
    </row>
    <row r="29" spans="1:4">
      <c r="A29" s="41" t="s">
        <v>277</v>
      </c>
      <c r="B29" s="247">
        <f>B34*'ha_N2O bodem landbouw'!B4</f>
        <v>0.81988517894016733</v>
      </c>
      <c r="C29" s="247">
        <f>B29*'GWP N2O_CH4'!B4</f>
        <v>254.16440547145186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1.8451871911820601E-4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1.1228391292304746E-4</v>
      </c>
      <c r="C5" s="463" t="s">
        <v>211</v>
      </c>
      <c r="D5" s="448">
        <f>SUM(D6:D11)</f>
        <v>2.6503267608157756E-4</v>
      </c>
      <c r="E5" s="448">
        <f>SUM(E6:E11)</f>
        <v>1.1451787799010341E-3</v>
      </c>
      <c r="F5" s="461" t="s">
        <v>211</v>
      </c>
      <c r="G5" s="448">
        <f>SUM(G6:G11)</f>
        <v>0.34956834514478824</v>
      </c>
      <c r="H5" s="448">
        <f>SUM(H6:H11)</f>
        <v>7.2588047541393821E-2</v>
      </c>
      <c r="I5" s="463" t="s">
        <v>211</v>
      </c>
      <c r="J5" s="463" t="s">
        <v>211</v>
      </c>
      <c r="K5" s="463" t="s">
        <v>211</v>
      </c>
      <c r="L5" s="463" t="s">
        <v>211</v>
      </c>
      <c r="M5" s="448">
        <f>SUM(M6:M11)</f>
        <v>1.3188126384150975E-2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2.5830612299761995E-5</v>
      </c>
      <c r="C6" s="449"/>
      <c r="D6" s="962">
        <f>vkm_2011_GW_PW*SUMIFS(TableVerdeelsleutelVkm[CNG],TableVerdeelsleutelVkm[Voertuigtype],"Lichte voertuigen")*SUMIFS(TableECFTransport[EnergieConsumptieFactor (PJ per km)],TableECFTransport[Index],CONCATENATE($A6,"_CNG_CNG"))</f>
        <v>5.1325879102437588E-5</v>
      </c>
      <c r="E6" s="962">
        <f>vkm_2011_GW_PW*SUMIFS(TableVerdeelsleutelVkm[LPG],TableVerdeelsleutelVkm[Voertuigtype],"Lichte voertuigen")*SUMIFS(TableECFTransport[EnergieConsumptieFactor (PJ per km)],TableECFTransport[Index],CONCATENATE($A6,"_LPG_LPG"))</f>
        <v>2.0198573321648277E-4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4.8025276824241715E-2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1.3895459577965744E-2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1.9295073247367909E-3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2.1157863655964566E-2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6.8348936874504861E-6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6.6665191065865893E-4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2.355445972157095E-5</v>
      </c>
      <c r="C8" s="449"/>
      <c r="D8" s="451">
        <f>vkm_2011_NGW_PW*SUMIFS(TableVerdeelsleutelVkm[CNG],TableVerdeelsleutelVkm[Voertuigtype],"Lichte voertuigen")*SUMIFS(TableECFTransport[EnergieConsumptieFactor (PJ per km)],TableECFTransport[Index],CONCATENATE($A8,"_CNG_CNG"))</f>
        <v>8.2871259383048433E-5</v>
      </c>
      <c r="E8" s="451">
        <f>vkm_2011_NGW_PW*SUMIFS(TableVerdeelsleutelVkm[LPG],TableVerdeelsleutelVkm[Voertuigtype],"Lichte voertuigen")*SUMIFS(TableECFTransport[EnergieConsumptieFactor (PJ per km)],TableECFTransport[Index],CONCATENATE($A8,"_LPG_LPG"))</f>
        <v>3.0161088898183558E-4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6.696609594474319E-2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2.1754919099339045E-2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2.7618505784903582E-3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3.864278721975207E-4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1.1805699151898189E-7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1.2175547763299282E-5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6.2898840901714519E-5</v>
      </c>
      <c r="C10" s="449"/>
      <c r="D10" s="451">
        <f>vkm_2011_SW_PW*SUMIFS(TableVerdeelsleutelVkm[CNG],TableVerdeelsleutelVkm[Voertuigtype],"Lichte voertuigen")*SUMIFS(TableECFTransport[EnergieConsumptieFactor (PJ per km)],TableECFTransport[Index],CONCATENATE($A10,"_CNG_CNG"))</f>
        <v>1.3083553759609158E-4</v>
      </c>
      <c r="E10" s="451">
        <f>vkm_2011_SW_PW*SUMIFS(TableVerdeelsleutelVkm[LPG],TableVerdeelsleutelVkm[Voertuigtype],"Lichte voertuigen")*SUMIFS(TableECFTransport[EnergieConsumptieFactor (PJ per km)],TableECFTransport[Index],CONCATENATE($A10,"_LPG_LPG"))</f>
        <v>6.4158215770271582E-4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0.13664963318574491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3.6904130145181485E-2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5.4111707520553528E-3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7.6383047661896367E-2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2.6585768228578195E-5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2.4067702704465136E-3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31.189975811957623</v>
      </c>
      <c r="C14" s="21"/>
      <c r="D14" s="21">
        <f t="shared" ref="D14:M14" si="0">((D5)*10^9/3600)+D12</f>
        <v>73.620187800438202</v>
      </c>
      <c r="E14" s="21">
        <f t="shared" si="0"/>
        <v>318.10521663917615</v>
      </c>
      <c r="F14" s="21"/>
      <c r="G14" s="21">
        <f t="shared" si="0"/>
        <v>97102.318095774521</v>
      </c>
      <c r="H14" s="21">
        <f t="shared" si="0"/>
        <v>20163.346539276059</v>
      </c>
      <c r="I14" s="21"/>
      <c r="J14" s="21"/>
      <c r="K14" s="21"/>
      <c r="L14" s="21"/>
      <c r="M14" s="21">
        <f t="shared" si="0"/>
        <v>3663.3684400419374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0.21839208038927332</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6.8116437048645402</v>
      </c>
      <c r="C18" s="23"/>
      <c r="D18" s="23">
        <f t="shared" ref="D18:M18" si="1">D14*D16</f>
        <v>14.871277935688518</v>
      </c>
      <c r="E18" s="23">
        <f t="shared" si="1"/>
        <v>72.209884177092988</v>
      </c>
      <c r="F18" s="23"/>
      <c r="G18" s="23">
        <f t="shared" si="1"/>
        <v>25926.318931571797</v>
      </c>
      <c r="H18" s="23">
        <f t="shared" si="1"/>
        <v>5020.6732882797387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9.7627420128197362E-3</v>
      </c>
      <c r="H50" s="321">
        <f t="shared" si="2"/>
        <v>0</v>
      </c>
      <c r="I50" s="321">
        <f t="shared" si="2"/>
        <v>0</v>
      </c>
      <c r="J50" s="321">
        <f t="shared" si="2"/>
        <v>0</v>
      </c>
      <c r="K50" s="321">
        <f t="shared" si="2"/>
        <v>0</v>
      </c>
      <c r="L50" s="321">
        <f t="shared" si="2"/>
        <v>0</v>
      </c>
      <c r="M50" s="321">
        <f t="shared" si="2"/>
        <v>3.0281841620610609E-4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9.7627420128197362E-3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3.0281841620610609E-4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2711.8727813388155</v>
      </c>
      <c r="H54" s="21">
        <f t="shared" si="3"/>
        <v>0</v>
      </c>
      <c r="I54" s="21">
        <f t="shared" si="3"/>
        <v>0</v>
      </c>
      <c r="J54" s="21">
        <f t="shared" si="3"/>
        <v>0</v>
      </c>
      <c r="K54" s="21">
        <f t="shared" si="3"/>
        <v>0</v>
      </c>
      <c r="L54" s="21">
        <f t="shared" si="3"/>
        <v>0</v>
      </c>
      <c r="M54" s="21">
        <f t="shared" si="3"/>
        <v>84.116226723918359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0.21839208038927332</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724.07003261746377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1556.6355026880672</v>
      </c>
      <c r="C6" s="1203"/>
      <c r="D6" s="1188"/>
      <c r="E6" s="1188"/>
      <c r="F6" s="1206"/>
      <c r="G6" s="1209"/>
      <c r="H6" s="1200"/>
      <c r="I6" s="1188"/>
      <c r="J6" s="1188"/>
      <c r="K6" s="1188"/>
      <c r="L6" s="1192"/>
      <c r="M6" s="575"/>
      <c r="N6" s="1166"/>
      <c r="O6" s="1167"/>
      <c r="Q6" s="573"/>
      <c r="R6" s="1154"/>
      <c r="S6" s="1154"/>
    </row>
    <row r="7" spans="1:19" s="563" customFormat="1">
      <c r="A7" s="576" t="s">
        <v>252</v>
      </c>
      <c r="B7" s="577">
        <f>N57</f>
        <v>7020</v>
      </c>
      <c r="C7" s="578">
        <f>B100</f>
        <v>8258.8235294117658</v>
      </c>
      <c r="D7" s="579"/>
      <c r="E7" s="579">
        <f>E100</f>
        <v>0</v>
      </c>
      <c r="F7" s="580"/>
      <c r="G7" s="581"/>
      <c r="H7" s="579">
        <f>I100</f>
        <v>0</v>
      </c>
      <c r="I7" s="579">
        <f>G100+F100</f>
        <v>0</v>
      </c>
      <c r="J7" s="579">
        <f>H100+D100+C100</f>
        <v>0</v>
      </c>
      <c r="K7" s="579"/>
      <c r="L7" s="582"/>
      <c r="M7" s="583">
        <f>C7*$C$11+D7*$D$11+E7*$E$11+F7*$F$11+G7*$G$11+H7*$H$11+I7*$I$11+J7*$J$11</f>
        <v>1668.2823529411769</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8576.6355026880665</v>
      </c>
      <c r="C9" s="594">
        <f t="shared" ref="C9:L9" si="0">SUM(C7:C8)</f>
        <v>8258.8235294117658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1668.2823529411769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10028.571428571429</v>
      </c>
      <c r="C16" s="610">
        <f>B101</f>
        <v>11798.319327731097</v>
      </c>
      <c r="D16" s="611"/>
      <c r="E16" s="611">
        <f>E101</f>
        <v>0</v>
      </c>
      <c r="F16" s="612"/>
      <c r="G16" s="613"/>
      <c r="H16" s="610">
        <f>I101</f>
        <v>0</v>
      </c>
      <c r="I16" s="611">
        <f>G101+F101</f>
        <v>0</v>
      </c>
      <c r="J16" s="611">
        <f>H101+D101+C101</f>
        <v>0</v>
      </c>
      <c r="K16" s="611"/>
      <c r="L16" s="614"/>
      <c r="M16" s="615">
        <f>C16*$C$21+E16*$E$21+H16*$H$21+I16*$I$21+J16*$J$21+D16*$D$21+F16*$F$21+G16*$G$21+K16*$K$21+L16*$L$21</f>
        <v>2383.2605042016817</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10028.571428571429</v>
      </c>
      <c r="C19" s="593">
        <f>SUM(C16:C18)</f>
        <v>11798.319327731097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2383.2605042016817</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51">
      <c r="A27" s="624"/>
      <c r="B27" s="851">
        <v>11013</v>
      </c>
      <c r="C27" s="851">
        <v>2650</v>
      </c>
      <c r="D27" s="672" t="s">
        <v>818</v>
      </c>
      <c r="E27" s="671" t="s">
        <v>819</v>
      </c>
      <c r="F27" s="671" t="s">
        <v>820</v>
      </c>
      <c r="G27" s="671" t="s">
        <v>821</v>
      </c>
      <c r="H27" s="671" t="s">
        <v>822</v>
      </c>
      <c r="I27" s="671" t="s">
        <v>819</v>
      </c>
      <c r="J27" s="850">
        <v>41473</v>
      </c>
      <c r="K27" s="850">
        <v>41473</v>
      </c>
      <c r="L27" s="671" t="s">
        <v>823</v>
      </c>
      <c r="M27" s="671">
        <v>1560</v>
      </c>
      <c r="N27" s="671">
        <v>7020</v>
      </c>
      <c r="O27" s="671">
        <v>10028.571428571429</v>
      </c>
      <c r="P27" s="671">
        <v>20057.142857142859</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1560</v>
      </c>
      <c r="N57" s="629">
        <f>SUM(N27:N56)</f>
        <v>7020</v>
      </c>
      <c r="O57" s="629">
        <f t="shared" ref="O57:W57" si="2">SUM(O27:O56)</f>
        <v>10028.571428571429</v>
      </c>
      <c r="P57" s="629">
        <f t="shared" si="2"/>
        <v>20057.142857142859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1560</v>
      </c>
      <c r="N59" s="629">
        <f ca="1">SUMIF($Z$27:AB56,"tertiair",N27:N56)</f>
        <v>7020</v>
      </c>
      <c r="O59" s="629">
        <f ca="1">SUMIF($Z$27:AC56,"tertiair",O27:O56)</f>
        <v>10028.571428571429</v>
      </c>
      <c r="P59" s="629">
        <f ca="1">SUMIF($Z$27:AD56,"tertiair",P27:P56)</f>
        <v>20057.142857142859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8258.8235294117658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11798.319327731097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2018-06-27T09:40:14Z</dcterms:modified>
</cp:coreProperties>
</file>