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<sst xmlns="http://schemas.openxmlformats.org/spreadsheetml/2006/main" count="1978" uniqueCount="847">
  <si>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</si>
  <si>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</si>
  <si>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</si>
  <si>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</si>
  <si>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</si>
  <si>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</si>
  <si>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</si>
  <si>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</si>
  <si>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</si>
  <si>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</si>
  <si>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</si>
  <si>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</si>
  <si>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</si>
  <si>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</si>
  <si>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</si>
  <si>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</si>
  <si>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</si>
  <si>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</si>
  <si>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</si>
  <si>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</si>
  <si>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</si>
  <si>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</si>
  <si>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</si>
  <si>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</si>
  <si>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</si>
  <si>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</si>
  <si>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</si>
  <si>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</si>
  <si>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</si>
  <si>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</si>
  <si>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</si>
  <si>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</si>
  <si>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</si>
  <si>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</si>
  <si>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</si>
  <si>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</si>
  <si>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</si>
  <si>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</si>
  <si>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</si>
  <si>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</si>
  <si>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</si>
  <si>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</si>
  <si>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</si>
  <si>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</si>
  <si>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</si>
  <si>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</si>
  <si>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</si>
  <si>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</si>
  <si>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</si>
  <si>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</si>
  <si>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</si>
  <si>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</si>
  <si>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</si>
  <si>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</si>
  <si>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</si>
  <si>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</si>
  <si>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</si>
  <si>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</si>
  <si>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</si>
  <si>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</si>
  <si>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</si>
  <si>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</si>
  <si>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</si>
  <si>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</si>
  <si>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</si>
  <si>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</si>
  <si>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</si>
  <si>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</si>
  <si>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</si>
  <si>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</si>
  <si>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</si>
  <si>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</si>
  <si>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</si>
  <si>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</si>
  <si>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</si>
  <si>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</si>
  <si>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</si>
  <si>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</si>
  <si>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</si>
  <si>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</si>
  <si>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</si>
  <si>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</si>
  <si>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</si>
  <si>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</si>
  <si>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</si>
  <si>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</si>
  <si>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</si>
  <si>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</si>
  <si>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</si>
  <si>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</si>
  <si>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</si>
  <si>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</si>
  <si>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</si>
  <si>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</si>
  <si>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</si>
  <si>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</si>
  <si>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</si>
  <si>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</si>
  <si>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</si>
  <si>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</si>
  <si>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</si>
  <si>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</si>
  <si>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</si>
  <si>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</si>
  <si>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</si>
  <si>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</si>
  <si>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</si>
  <si>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</si>
  <si>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</si>
  <si>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</si>
  <si>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</si>
  <si>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</si>
  <si>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</si>
  <si>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</si>
  <si>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</si>
  <si>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</si>
  <si>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</si>
  <si>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</si>
  <si>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</si>
  <si>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</si>
  <si>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</si>
  <si>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</si>
  <si>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</si>
  <si>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</si>
  <si>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</si>
  <si>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</si>
  <si>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</si>
  <si>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</si>
  <si>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</si>
  <si>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</si>
  <si>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</si>
  <si>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</si>
  <si>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</si>
  <si>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</si>
  <si>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</si>
  <si>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</si>
  <si>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</si>
  <si>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</si>
  <si>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</si>
  <si>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</si>
  <si>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</si>
  <si>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</si>
  <si>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</si>
  <si>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</si>
  <si>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</si>
  <si>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</si>
  <si>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</si>
  <si>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</si>
  <si>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</si>
  <si>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</si>
  <si>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</si>
  <si>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</si>
  <si>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</si>
  <si>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</si>
  <si>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</si>
  <si>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</si>
  <si>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</si>
  <si>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</si>
  <si>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</si>
  <si>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</si>
  <si>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</si>
  <si>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</si>
  <si>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</si>
  <si>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</si>
  <si>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</si>
  <si>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</si>
  <si>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</si>
  <si>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</si>
  <si>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</si>
  <si>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</si>
  <si>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</si>
  <si>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</si>
  <si>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</si>
  <si>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</si>
  <si>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</si>
  <si>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</si>
  <si>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</si>
  <si>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</si>
  <si>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</si>
  <si>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</si>
  <si>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</si>
  <si>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</si>
  <si>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</si>
  <si>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</si>
  <si>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</si>
  <si>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</si>
  <si>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</si>
  <si>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</si>
  <si>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</si>
  <si>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</si>
  <si>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</si>
  <si>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</si>
  <si>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</si>
  <si>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</si>
  <si>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</si>
  <si>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</si>
  <si>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</si>
  <si>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</si>
  <si>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</si>
  <si>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</si>
  <si>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</si>
  <si>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</si>
  <si>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</si>
  <si>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</si>
  <si>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</si>
  <si>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</si>
  <si>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</si>
  <si>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</si>
  <si>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</si>
  <si>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</si>
  <si>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</si>
  <si>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</si>
  <si>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</si>
  <si>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</si>
  <si>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</si>
  <si>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</si>
  <si>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</si>
  <si>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</si>
  <si>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</si>
  <si>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</si>
  <si>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</si>
  <si>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</si>
  <si>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</si>
  <si>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</si>
  <si>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</si>
  <si>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</si>
  <si>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</si>
  <si>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</si>
  <si>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</si>
  <si>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</si>
  <si>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</si>
  <si>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</si>
  <si>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</si>
  <si>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</si>
  <si>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</si>
  <si>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</si>
  <si>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</si>
  <si>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</si>
  <si>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</si>
  <si>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</si>
  <si>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</si>
  <si>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</si>
  <si>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</si>
  <si>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</si>
  <si>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</si>
  <si>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</si>
  <si>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</si>
  <si>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</si>
  <si>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</si>
  <si>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</si>
  <si>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</si>
  <si>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</si>
  <si>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</si>
  <si>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</si>
  <si>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</si>
  <si>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</si>
  <si>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</si>
  <si>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</si>
  <si>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</si>
  <si>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</si>
  <si>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</si>
  <si>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</si>
  <si>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</si>
  <si>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</si>
  <si>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</si>
  <si>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</si>
  <si>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</si>
  <si>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</si>
  <si>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</si>
  <si>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</si>
  <si>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</si>
  <si>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</si>
  <si>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</si>
  <si>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</si>
  <si>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</si>
  <si>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</si>
  <si>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</si>
  <si>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</si>
  <si>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</si>
  <si>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</si>
  <si>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</si>
  <si>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</si>
  <si>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</si>
  <si>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</si>
  <si>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</si>
  <si>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</si>
  <si>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</si>
  <si>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</si>
  <si>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</si>
  <si>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</si>
  <si>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</si>
  <si>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</si>
  <si>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</si>
  <si>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</si>
  <si>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</si>
  <si>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</si>
  <si>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</si>
  <si>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</si>
  <si>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</si>
  <si>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</si>
  <si>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</si>
  <si>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</si>
  <si>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</si>
  <si>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</si>
  <si>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</si>
  <si>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</si>
  <si>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</si>
  <si>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</si>
  <si>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</si>
  <si>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</si>
  <si>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</si>
  <si>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</si>
  <si>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</si>
  <si>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</si>
  <si>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</si>
  <si>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</si>
  <si>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</si>
  <si>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</si>
  <si>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</si>
  <si>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</si>
  <si>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</si>
  <si>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</si>
  <si>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</si>
  <si>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</si>
  <si>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</si>
  <si>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</si>
  <si>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</si>
  <si>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</si>
  <si>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</si>
  <si>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</si>
  <si>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</si>
  <si>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</si>
  <si>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</si>
  <si>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</si>
  <si>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</si>
  <si>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</si>
  <si>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</si>
  <si>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</si>
  <si>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</si>
  <si>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</si>
  <si>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</si>
  <si>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</si>
  <si>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</si>
  <si>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</si>
  <si>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</si>
  <si>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</si>
  <si>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</si>
  <si>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</si>
  <si>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</si>
  <si>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</si>
  <si>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</si>
  <si>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</si>
  <si>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</si>
  <si>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</si>
  <si>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</si>
  <si>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</si>
  <si>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</si>
  <si>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</si>
  <si>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</si>
  <si>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</si>
  <si>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</si>
  <si>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</si>
  <si>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</si>
  <si>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</si>
  <si>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</si>
  <si>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</si>
  <si>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</si>
  <si>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</si>
  <si>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</si>
  <si>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</si>
  <si>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</si>
  <si>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</si>
  <si>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</si>
  <si>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</si>
  <si>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</si>
  <si>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</si>
  <si>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</si>
  <si>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</si>
  <si>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</si>
  <si>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</si>
  <si>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</si>
  <si>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</si>
  <si>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</si>
  <si>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</si>
  <si>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</si>
  <si>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</si>
  <si>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</si>
  <si>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</si>
  <si>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</si>
  <si>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</si>
  <si>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</si>
  <si>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</si>
  <si>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</si>
  <si>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</si>
  <si>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</si>
  <si>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</si>
  <si>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</si>
  <si>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</si>
  <si>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</si>
  <si>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</si>
  <si>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</si>
  <si>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</si>
  <si>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</si>
  <si>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</si>
  <si>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</si>
  <si>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</si>
  <si>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</si>
  <si>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</si>
  <si>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</si>
  <si>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</si>
  <si>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</si>
  <si>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</si>
  <si>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</si>
  <si>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</si>
  <si>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</si>
  <si>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</si>
  <si>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</si>
  <si>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</si>
  <si>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</si>
  <si>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</si>
  <si>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</si>
  <si>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</si>
  <si>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</si>
  <si>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</si>
  <si>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</si>
  <si>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</si>
  <si>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</si>
  <si>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</si>
  <si>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</si>
  <si>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</si>
  <si>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</si>
  <si>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</si>
  <si>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</si>
  <si>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</si>
  <si>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</si>
  <si>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</si>
  <si>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</si>
  <si>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</si>
  <si>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</si>
  <si>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</si>
  <si>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</si>
  <si>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</si>
  <si>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</si>
  <si>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</si>
  <si>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</si>
  <si>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</si>
  <si>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</si>
  <si>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</si>
  <si>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</si>
  <si>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</si>
  <si>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</si>
  <si>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</si>
  <si>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</si>
  <si>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</si>
  <si>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</si>
  <si>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</si>
  <si>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</si>
  <si>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</si>
  <si>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</si>
  <si>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</si>
  <si>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</si>
  <si>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</si>
  <si>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</si>
  <si>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</si>
  <si>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</si>
  <si>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</si>
  <si>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</si>
  <si>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</si>
  <si>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</si>
  <si>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</si>
  <si>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</si>
  <si>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</si>
  <si>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</si>
  <si>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</si>
  <si>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</si>
  <si>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</si>
  <si>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</si>
  <si>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</si>
  <si>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</si>
  <si>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</si>
  <si>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</si>
  <si>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</si>
  <si>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</si>
  <si>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</si>
  <si>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</si>
  <si>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</si>
  <si>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</si>
  <si>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</si>
  <si>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</si>
  <si>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</si>
  <si>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</si>
  <si>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</si>
  <si>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</si>
  <si>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</si>
  <si>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</si>
  <si>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</si>
  <si>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</si>
  <si>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</si>
  <si>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</si>
  <si>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</si>
  <si>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</si>
  <si>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</si>
  <si>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</si>
  <si>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</si>
  <si>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</si>
  <si>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</si>
  <si>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</si>
  <si>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</si>
  <si>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</si>
  <si>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</si>
  <si>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</si>
  <si>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</si>
  <si>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</si>
  <si>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</si>
  <si>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</si>
  <si>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</si>
  <si>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</si>
  <si>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</si>
  <si>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</si>
  <si>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</si>
  <si>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</si>
  <si>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</si>
  <si>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</si>
  <si>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</si>
  <si>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</si>
  <si>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</si>
  <si>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</si>
  <si>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</si>
  <si>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</si>
  <si>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</si>
  <si>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</si>
  <si>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</si>
  <si>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</si>
  <si>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</si>
  <si>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</si>
  <si>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</si>
  <si>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</si>
  <si>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</si>
  <si>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</si>
  <si>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</si>
  <si>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</si>
  <si>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</si>
  <si>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</si>
  <si>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</si>
  <si>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</si>
  <si>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</si>
  <si>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</si>
  <si>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</si>
  <si>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</si>
  <si>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</si>
  <si>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</si>
  <si>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</si>
  <si>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</si>
  <si>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</si>
  <si>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</si>
  <si>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</si>
  <si>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</si>
  <si>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</si>
  <si>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</si>
  <si>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</si>
  <si>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</si>
  <si>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</si>
  <si>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</si>
  <si>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</si>
  <si>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</si>
  <si>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</si>
  <si>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</si>
  <si>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</si>
  <si>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</si>
  <si>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</si>
  <si>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</si>
  <si>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</si>
  <si>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</si>
  <si>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</si>
  <si>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</si>
  <si>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</si>
  <si>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</si>
  <si>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</si>
  <si>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</si>
  <si>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</si>
  <si>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</si>
  <si>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</si>
  <si>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</si>
  <si>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</si>
  <si>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</si>
  <si>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</si>
  <si>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</si>
  <si>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</si>
  <si>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</si>
  <si>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</si>
  <si>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</si>
  <si>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</si>
  <si>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</si>
  <si>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</si>
  <si>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</si>
  <si>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</si>
  <si>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</si>
  <si>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</si>
  <si>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</si>
  <si>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</si>
  <si>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</si>
  <si>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</si>
  <si>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</si>
  <si>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</si>
  <si>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</si>
  <si>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</si>
  <si>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</si>
  <si>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</si>
  <si>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</si>
  <si>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</si>
  <si>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</si>
  <si>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</si>
  <si>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</si>
  <si>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</si>
  <si>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</si>
  <si>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</si>
  <si>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</si>
  <si>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</si>
  <si>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</si>
  <si>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</si>
  <si>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</si>
  <si>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</si>
  <si>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</si>
  <si>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</si>
  <si>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</si>
  <si>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</si>
  <si>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</si>
  <si>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</si>
  <si>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</si>
  <si>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</si>
  <si>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</si>
  <si>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</si>
  <si>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</si>
  <si>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</si>
  <si>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</si>
  <si>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</si>
  <si>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</si>
  <si>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</si>
  <si>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</si>
  <si>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</si>
  <si>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</si>
  <si>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</si>
  <si>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</si>
  <si>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</si>
  <si>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</si>
  <si>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</si>
  <si>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</si>
  <si>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</si>
  <si>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</si>
  <si>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</si>
  <si>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</si>
  <si>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</si>
  <si>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</si>
  <si>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</si>
  <si>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</si>
  <si>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</si>
  <si>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</si>
  <si>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</si>
  <si>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</si>
  <si>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</si>
  <si>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</si>
  <si>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</si>
  <si>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</si>
  <si>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</si>
  <si>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</si>
  <si>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</si>
  <si>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</si>
  <si>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</si>
  <si>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</si>
  <si>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</si>
  <si>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</si>
  <si>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</si>
  <si>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</si>
  <si>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</si>
  <si>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</si>
  <si>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</si>
  <si>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</si>
  <si>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</si>
  <si>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</si>
  <si>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</si>
  <si>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</si>
  <si>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</si>
  <si>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</si>
  <si>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</si>
  <si>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</si>
  <si>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</si>
  <si>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</si>
  <si>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</si>
  <si>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</si>
  <si>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</si>
  <si>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</si>
  <si>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</si>
  <si>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</si>
  <si>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</si>
  <si>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</si>
  <si>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</si>
  <si>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</si>
  <si>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</si>
  <si>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</si>
  <si>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</si>
  <si>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</si>
  <si>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</si>
  <si>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</si>
  <si>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</si>
  <si>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</si>
  <si>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</si>
  <si>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</si>
  <si>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</si>
  <si>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</si>
  <si>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</si>
  <si>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</si>
  <si>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</si>
  <si>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</si>
  <si>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</si>
  <si>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</si>
  <si>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</si>
  <si>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</si>
  <si>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</si>
  <si>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</si>
  <si>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</si>
  <si>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</si>
  <si>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</si>
  <si>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</si>
  <si>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</si>
  <si>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</si>
  <si>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</si>
  <si>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</si>
  <si>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</si>
  <si>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</si>
  <si>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</si>
  <si>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</si>
  <si>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</si>
  <si>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</si>
  <si>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</si>
  <si>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</si>
  <si>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</si>
  <si>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</si>
  <si>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</si>
  <si>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</si>
  <si>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</si>
  <si>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</si>
  <si>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</si>
  <si>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</si>
  <si>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</si>
  <si>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</si>
  <si>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</si>
  <si>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</si>
  <si>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</si>
  <si>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</si>
  <si>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</si>
  <si>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</si>
  <si>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</si>
  <si>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</si>
  <si>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</si>
  <si>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</si>
  <si>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</si>
  <si>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</si>
  <si>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</si>
  <si>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</si>
  <si>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</si>
  <si>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</si>
  <si>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</si>
  <si>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</si>
  <si>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</si>
  <si>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</si>
  <si>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</si>
  <si>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</si>
  <si>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</si>
  <si>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</si>
  <si>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</si>
  <si>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</si>
  <si>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</si>
  <si>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</si>
  <si>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</si>
  <si>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</si>
  <si>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</si>
  <si>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</si>
  <si>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</si>
  <si>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</si>
  <si>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</si>
  <si>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</si>
  <si>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</si>
  <si>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</si>
  <si>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</si>
  <si>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</si>
  <si>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</si>
  <si>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</si>
  <si>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</si>
  <si>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</si>
  <si>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</si>
  <si>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</si>
  <si>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</si>
  <si>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</si>
  <si>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</si>
  <si>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</si>
  <si>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</si>
  <si>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</si>
  <si>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</si>
  <si>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</si>
  <si>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</si>
  <si>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</si>
  <si>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</si>
  <si>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</si>
  <si>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</si>
  <si>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</si>
  <si>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</si>
  <si>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</si>
  <si>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</si>
  <si>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</si>
  <si>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</si>
  <si>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11009</t>
  </si>
  <si>
    <t>BRECHT</t>
  </si>
  <si>
    <t>Paarden&amp;pony's 200 - 600 kg</t>
  </si>
  <si>
    <t>Paarden&amp;pony's &lt; 200 kg</t>
  </si>
  <si>
    <t>referentietaak LNE (2017); Jaarverslag De Lijn (2015)</t>
  </si>
  <si>
    <t>op basis van VEA (maart 2018) en Inventaris Hernieuwbare Energiebronnen (juni 2018)</t>
  </si>
  <si>
    <t>VEA (januari 2017)</t>
  </si>
  <si>
    <t>VEA (juni 2018)</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</si>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</sst>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222647.50526951961</c:v>
                </c:pt>
                <c:pt idx="1">
                  <c:v>80919.964697430798</c:v>
                </c:pt>
                <c:pt idx="2">
                  <c:v>1534.2460000000001</c:v>
                </c:pt>
                <c:pt idx="3">
                  <c:v>29829.758729163157</c:v>
                </c:pt>
                <c:pt idx="4">
                  <c:v>64875.026328281412</c:v>
                </c:pt>
                <c:pt idx="5">
                  <c:v>379062.77858161239</c:v>
                </c:pt>
                <c:pt idx="6">
                  <c:v>3526.2397512248635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528"/>
        <c:axId val="183064064"/>
      </c:barChart>
      <c:catAx>
        <c:axId val="183062528"/>
        <c:scaling>
          <c:orientation val="minMax"/>
        </c:scaling>
        <c:axPos val="b"/>
        <c:numFmt formatCode="General" sourceLinked="0"/>
        <c:tickLblPos val="nextTo"/>
        <c:crossAx val="183064064"/>
        <c:crosses val="autoZero"/>
        <c:auto val="1"/>
        <c:lblAlgn val="ctr"/>
        <c:lblOffset val="100"/>
      </c:catAx>
      <c:valAx>
        <c:axId val="183064064"/>
        <c:scaling>
          <c:orientation val="minMax"/>
        </c:scaling>
        <c:axPos val="l"/>
        <c:majorGridlines/>
        <c:numFmt formatCode="#,##0" sourceLinked="1"/>
        <c:tickLblPos val="nextTo"/>
        <c:crossAx val="183062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222647.50526951961</c:v>
                </c:pt>
                <c:pt idx="1">
                  <c:v>80919.964697430798</c:v>
                </c:pt>
                <c:pt idx="2">
                  <c:v>1534.2460000000001</c:v>
                </c:pt>
                <c:pt idx="3">
                  <c:v>29829.758729163157</c:v>
                </c:pt>
                <c:pt idx="4">
                  <c:v>64875.026328281412</c:v>
                </c:pt>
                <c:pt idx="5">
                  <c:v>379062.77858161239</c:v>
                </c:pt>
                <c:pt idx="6">
                  <c:v>3526.2397512248635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35926.041461884102</c:v>
                </c:pt>
                <c:pt idx="1">
                  <c:v>14906.92561746088</c:v>
                </c:pt>
                <c:pt idx="2">
                  <c:v>242.95040054421102</c:v>
                </c:pt>
                <c:pt idx="3">
                  <c:v>7263.8407830771293</c:v>
                </c:pt>
                <c:pt idx="4">
                  <c:v>11395.464740067713</c:v>
                </c:pt>
                <c:pt idx="5">
                  <c:v>97284.40778601187</c:v>
                </c:pt>
                <c:pt idx="6">
                  <c:v>913.18117643654807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568"/>
        <c:axId val="183632256"/>
      </c:barChart>
      <c:catAx>
        <c:axId val="183421568"/>
        <c:scaling>
          <c:orientation val="minMax"/>
        </c:scaling>
        <c:axPos val="b"/>
        <c:numFmt formatCode="General" sourceLinked="0"/>
        <c:tickLblPos val="nextTo"/>
        <c:crossAx val="183632256"/>
        <c:crosses val="autoZero"/>
        <c:auto val="1"/>
        <c:lblAlgn val="ctr"/>
        <c:lblOffset val="100"/>
      </c:catAx>
      <c:valAx>
        <c:axId val="183632256"/>
        <c:scaling>
          <c:orientation val="minMax"/>
        </c:scaling>
        <c:axPos val="l"/>
        <c:majorGridlines/>
        <c:numFmt formatCode="#,##0" sourceLinked="1"/>
        <c:tickLblPos val="nextTo"/>
        <c:crossAx val="183421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35926.041461884102</c:v>
                </c:pt>
                <c:pt idx="1">
                  <c:v>14906.92561746088</c:v>
                </c:pt>
                <c:pt idx="2">
                  <c:v>242.95040054421102</c:v>
                </c:pt>
                <c:pt idx="3">
                  <c:v>7263.8407830771293</c:v>
                </c:pt>
                <c:pt idx="4">
                  <c:v>11395.464740067713</c:v>
                </c:pt>
                <c:pt idx="5">
                  <c:v>97284.40778601187</c:v>
                </c:pt>
                <c:pt idx="6">
                  <c:v>913.18117643654807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11009</v>
      </c>
      <c r="B6" s="415"/>
      <c r="C6" s="416"/>
    </row>
    <row r="7" spans="1:7" s="413" customFormat="1" ht="15.75" customHeight="1">
      <c r="A7" s="417" t="str">
        <f>txtMunicipality</f>
        <v>BRECHT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11234</v>
      </c>
      <c r="C9" s="342">
        <v>12313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4465.49</v>
      </c>
    </row>
    <row r="15" spans="1:6">
      <c r="A15" s="348" t="s">
        <v>184</v>
      </c>
      <c r="B15" s="334">
        <v>6858</v>
      </c>
    </row>
    <row r="16" spans="1:6">
      <c r="A16" s="348" t="s">
        <v>6</v>
      </c>
      <c r="B16" s="334">
        <v>4429</v>
      </c>
    </row>
    <row r="17" spans="1:6">
      <c r="A17" s="348" t="s">
        <v>7</v>
      </c>
      <c r="B17" s="334">
        <v>902</v>
      </c>
    </row>
    <row r="18" spans="1:6">
      <c r="A18" s="348" t="s">
        <v>8</v>
      </c>
      <c r="B18" s="334">
        <v>3058</v>
      </c>
    </row>
    <row r="19" spans="1:6">
      <c r="A19" s="348" t="s">
        <v>9</v>
      </c>
      <c r="B19" s="334">
        <v>2855</v>
      </c>
    </row>
    <row r="20" spans="1:6">
      <c r="A20" s="348" t="s">
        <v>10</v>
      </c>
      <c r="B20" s="334">
        <v>1718</v>
      </c>
    </row>
    <row r="21" spans="1:6">
      <c r="A21" s="348" t="s">
        <v>11</v>
      </c>
      <c r="B21" s="334">
        <v>10731</v>
      </c>
    </row>
    <row r="22" spans="1:6">
      <c r="A22" s="348" t="s">
        <v>12</v>
      </c>
      <c r="B22" s="334">
        <v>36081</v>
      </c>
    </row>
    <row r="23" spans="1:6">
      <c r="A23" s="348" t="s">
        <v>13</v>
      </c>
      <c r="B23" s="334">
        <v>784</v>
      </c>
    </row>
    <row r="24" spans="1:6">
      <c r="A24" s="348" t="s">
        <v>14</v>
      </c>
      <c r="B24" s="334">
        <v>31</v>
      </c>
    </row>
    <row r="25" spans="1:6">
      <c r="A25" s="348" t="s">
        <v>15</v>
      </c>
      <c r="B25" s="334">
        <v>2815</v>
      </c>
    </row>
    <row r="26" spans="1:6">
      <c r="A26" s="348" t="s">
        <v>16</v>
      </c>
      <c r="B26" s="334">
        <v>83</v>
      </c>
    </row>
    <row r="27" spans="1:6">
      <c r="A27" s="348" t="s">
        <v>17</v>
      </c>
      <c r="B27" s="334">
        <v>2935</v>
      </c>
    </row>
    <row r="28" spans="1:6" s="356" customFormat="1">
      <c r="A28" s="355" t="s">
        <v>18</v>
      </c>
      <c r="B28" s="355">
        <v>499627</v>
      </c>
    </row>
    <row r="29" spans="1:6">
      <c r="A29" s="355" t="s">
        <v>812</v>
      </c>
      <c r="B29" s="355">
        <v>576</v>
      </c>
      <c r="C29" s="356"/>
      <c r="D29" s="356"/>
      <c r="E29" s="356"/>
      <c r="F29" s="356"/>
    </row>
    <row r="30" spans="1:6">
      <c r="A30" s="355" t="s">
        <v>813</v>
      </c>
      <c r="B30" s="341">
        <v>140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49413.828307000003</v>
      </c>
    </row>
    <row r="36" spans="1:6">
      <c r="A36" s="348" t="s">
        <v>25</v>
      </c>
      <c r="B36" s="348" t="s">
        <v>27</v>
      </c>
      <c r="C36" s="334">
        <v>0</v>
      </c>
      <c r="D36" s="334">
        <v>0</v>
      </c>
      <c r="E36" s="334">
        <v>5</v>
      </c>
      <c r="F36" s="334">
        <v>67908.012166</v>
      </c>
    </row>
    <row r="37" spans="1:6">
      <c r="A37" s="348" t="s">
        <v>25</v>
      </c>
      <c r="B37" s="348" t="s">
        <v>28</v>
      </c>
      <c r="C37" s="334">
        <v>0</v>
      </c>
      <c r="D37" s="334">
        <v>0</v>
      </c>
      <c r="E37" s="334">
        <v>0</v>
      </c>
      <c r="F37" s="334">
        <v>0</v>
      </c>
    </row>
    <row r="38" spans="1:6">
      <c r="A38" s="348" t="s">
        <v>25</v>
      </c>
      <c r="B38" s="348" t="s">
        <v>29</v>
      </c>
      <c r="C38" s="334">
        <v>2</v>
      </c>
      <c r="D38" s="334">
        <v>52842.083241</v>
      </c>
      <c r="E38" s="334">
        <v>2</v>
      </c>
      <c r="F38" s="334">
        <v>43474.707764999999</v>
      </c>
    </row>
    <row r="39" spans="1:6">
      <c r="A39" s="348" t="s">
        <v>30</v>
      </c>
      <c r="B39" s="348" t="s">
        <v>31</v>
      </c>
      <c r="C39" s="334">
        <v>7599</v>
      </c>
      <c r="D39" s="334">
        <v>135284509.72</v>
      </c>
      <c r="E39" s="334">
        <v>10947</v>
      </c>
      <c r="F39" s="334">
        <v>53541059.037</v>
      </c>
    </row>
    <row r="40" spans="1:6">
      <c r="A40" s="348" t="s">
        <v>30</v>
      </c>
      <c r="B40" s="348" t="s">
        <v>29</v>
      </c>
      <c r="C40" s="334">
        <v>0</v>
      </c>
      <c r="D40" s="334">
        <v>0</v>
      </c>
      <c r="E40" s="334">
        <v>0</v>
      </c>
      <c r="F40" s="334">
        <v>0</v>
      </c>
    </row>
    <row r="41" spans="1:6">
      <c r="A41" s="348" t="s">
        <v>32</v>
      </c>
      <c r="B41" s="348" t="s">
        <v>33</v>
      </c>
      <c r="C41" s="334">
        <v>113</v>
      </c>
      <c r="D41" s="334">
        <v>2802531.4286000002</v>
      </c>
      <c r="E41" s="334">
        <v>252</v>
      </c>
      <c r="F41" s="334">
        <v>2712054.0019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523145.6238</v>
      </c>
      <c r="E44" s="334">
        <v>37</v>
      </c>
      <c r="F44" s="334">
        <v>1484919.1754000001</v>
      </c>
    </row>
    <row r="45" spans="1:6">
      <c r="A45" s="348" t="s">
        <v>32</v>
      </c>
      <c r="B45" s="348" t="s">
        <v>37</v>
      </c>
      <c r="C45" s="334">
        <v>0</v>
      </c>
      <c r="D45" s="334">
        <v>0</v>
      </c>
      <c r="E45" s="334">
        <v>10</v>
      </c>
      <c r="F45" s="334">
        <v>1784145.9886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19577035.375</v>
      </c>
      <c r="E48" s="334">
        <v>45</v>
      </c>
      <c r="F48" s="334">
        <v>21514582.142000001</v>
      </c>
    </row>
    <row r="49" spans="1:6">
      <c r="A49" s="348" t="s">
        <v>32</v>
      </c>
      <c r="B49" s="348" t="s">
        <v>40</v>
      </c>
      <c r="C49" s="334">
        <v>0</v>
      </c>
      <c r="D49" s="334">
        <v>0</v>
      </c>
      <c r="E49" s="334">
        <v>0</v>
      </c>
      <c r="F49" s="334">
        <v>0</v>
      </c>
    </row>
    <row r="50" spans="1:6">
      <c r="A50" s="348" t="s">
        <v>32</v>
      </c>
      <c r="B50" s="348" t="s">
        <v>41</v>
      </c>
      <c r="C50" s="334">
        <v>9</v>
      </c>
      <c r="D50" s="334">
        <v>815719.55341000005</v>
      </c>
      <c r="E50" s="334">
        <v>10</v>
      </c>
      <c r="F50" s="334">
        <v>392968.53739000001</v>
      </c>
    </row>
    <row r="51" spans="1:6">
      <c r="A51" s="348" t="s">
        <v>42</v>
      </c>
      <c r="B51" s="348" t="s">
        <v>43</v>
      </c>
      <c r="C51" s="334">
        <v>11</v>
      </c>
      <c r="D51" s="334">
        <v>216179.2169</v>
      </c>
      <c r="E51" s="334">
        <v>199</v>
      </c>
      <c r="F51" s="334">
        <v>4464383.0317000002</v>
      </c>
    </row>
    <row r="52" spans="1:6">
      <c r="A52" s="348" t="s">
        <v>42</v>
      </c>
      <c r="B52" s="348" t="s">
        <v>29</v>
      </c>
      <c r="C52" s="334">
        <v>9</v>
      </c>
      <c r="D52" s="334">
        <v>11471188.949999999</v>
      </c>
      <c r="E52" s="334">
        <v>8</v>
      </c>
      <c r="F52" s="334">
        <v>134647.27674</v>
      </c>
    </row>
    <row r="53" spans="1:6">
      <c r="A53" s="348" t="s">
        <v>44</v>
      </c>
      <c r="B53" s="348" t="s">
        <v>45</v>
      </c>
      <c r="C53" s="334">
        <v>156</v>
      </c>
      <c r="D53" s="334">
        <v>2934437.0586999999</v>
      </c>
      <c r="E53" s="334">
        <v>390</v>
      </c>
      <c r="F53" s="334">
        <v>1446606.6418999999</v>
      </c>
    </row>
    <row r="54" spans="1:6">
      <c r="A54" s="348" t="s">
        <v>46</v>
      </c>
      <c r="B54" s="348" t="s">
        <v>47</v>
      </c>
      <c r="C54" s="334">
        <v>0</v>
      </c>
      <c r="D54" s="334">
        <v>0</v>
      </c>
      <c r="E54" s="334">
        <v>1</v>
      </c>
      <c r="F54" s="334">
        <v>1534246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81</v>
      </c>
      <c r="D57" s="334">
        <v>4718857.5597999999</v>
      </c>
      <c r="E57" s="334">
        <v>236</v>
      </c>
      <c r="F57" s="334">
        <v>3429777.9076</v>
      </c>
    </row>
    <row r="58" spans="1:6">
      <c r="A58" s="348" t="s">
        <v>49</v>
      </c>
      <c r="B58" s="348" t="s">
        <v>51</v>
      </c>
      <c r="C58" s="334">
        <v>28</v>
      </c>
      <c r="D58" s="334">
        <v>1747345.3163000001</v>
      </c>
      <c r="E58" s="334">
        <v>73</v>
      </c>
      <c r="F58" s="334">
        <v>609310.8149</v>
      </c>
    </row>
    <row r="59" spans="1:6">
      <c r="A59" s="348" t="s">
        <v>49</v>
      </c>
      <c r="B59" s="348" t="s">
        <v>52</v>
      </c>
      <c r="C59" s="334">
        <v>148</v>
      </c>
      <c r="D59" s="334">
        <v>5524655.8765000002</v>
      </c>
      <c r="E59" s="334">
        <v>286</v>
      </c>
      <c r="F59" s="334">
        <v>8246484.4642000003</v>
      </c>
    </row>
    <row r="60" spans="1:6">
      <c r="A60" s="348" t="s">
        <v>49</v>
      </c>
      <c r="B60" s="348" t="s">
        <v>53</v>
      </c>
      <c r="C60" s="334">
        <v>78</v>
      </c>
      <c r="D60" s="334">
        <v>9463122.0686000008</v>
      </c>
      <c r="E60" s="334">
        <v>109</v>
      </c>
      <c r="F60" s="334">
        <v>3932388.227</v>
      </c>
    </row>
    <row r="61" spans="1:6">
      <c r="A61" s="348" t="s">
        <v>49</v>
      </c>
      <c r="B61" s="348" t="s">
        <v>54</v>
      </c>
      <c r="C61" s="334">
        <v>181</v>
      </c>
      <c r="D61" s="334">
        <v>7311710.6306999996</v>
      </c>
      <c r="E61" s="334">
        <v>421</v>
      </c>
      <c r="F61" s="334">
        <v>7212757.6687000003</v>
      </c>
    </row>
    <row r="62" spans="1:6">
      <c r="A62" s="348" t="s">
        <v>49</v>
      </c>
      <c r="B62" s="348" t="s">
        <v>55</v>
      </c>
      <c r="C62" s="334">
        <v>4</v>
      </c>
      <c r="D62" s="334">
        <v>680128.91408000002</v>
      </c>
      <c r="E62" s="334">
        <v>5</v>
      </c>
      <c r="F62" s="334">
        <v>81409.247994999998</v>
      </c>
    </row>
    <row r="63" spans="1:6">
      <c r="A63" s="348" t="s">
        <v>49</v>
      </c>
      <c r="B63" s="348" t="s">
        <v>29</v>
      </c>
      <c r="C63" s="334">
        <v>94</v>
      </c>
      <c r="D63" s="334">
        <v>4539120.2006999999</v>
      </c>
      <c r="E63" s="334">
        <v>92</v>
      </c>
      <c r="F63" s="334">
        <v>2511569.5307</v>
      </c>
    </row>
    <row r="64" spans="1:6">
      <c r="A64" s="348" t="s">
        <v>56</v>
      </c>
      <c r="B64" s="348" t="s">
        <v>57</v>
      </c>
      <c r="C64" s="334">
        <v>0</v>
      </c>
      <c r="D64" s="334">
        <v>0</v>
      </c>
      <c r="E64" s="334">
        <v>0</v>
      </c>
      <c r="F64" s="334">
        <v>0</v>
      </c>
    </row>
    <row r="65" spans="1:6">
      <c r="A65" s="348" t="s">
        <v>56</v>
      </c>
      <c r="B65" s="348" t="s">
        <v>29</v>
      </c>
      <c r="C65" s="334">
        <v>1</v>
      </c>
      <c r="D65" s="334">
        <v>47420.376401000001</v>
      </c>
      <c r="E65" s="334">
        <v>3</v>
      </c>
      <c r="F65" s="334">
        <v>25744.867339</v>
      </c>
    </row>
    <row r="66" spans="1:6">
      <c r="A66" s="348" t="s">
        <v>56</v>
      </c>
      <c r="B66" s="348" t="s">
        <v>58</v>
      </c>
      <c r="C66" s="334">
        <v>3</v>
      </c>
      <c r="D66" s="334">
        <v>79258.662721000001</v>
      </c>
      <c r="E66" s="334">
        <v>22</v>
      </c>
      <c r="F66" s="334">
        <v>407305.05592999997</v>
      </c>
    </row>
    <row r="67" spans="1:6">
      <c r="A67" s="355" t="s">
        <v>56</v>
      </c>
      <c r="B67" s="355" t="s">
        <v>59</v>
      </c>
      <c r="C67" s="334">
        <v>0</v>
      </c>
      <c r="D67" s="334">
        <v>0</v>
      </c>
      <c r="E67" s="334">
        <v>0</v>
      </c>
      <c r="F67" s="334">
        <v>0</v>
      </c>
    </row>
    <row r="68" spans="1:6">
      <c r="A68" s="341" t="s">
        <v>56</v>
      </c>
      <c r="B68" s="341" t="s">
        <v>60</v>
      </c>
      <c r="C68" s="334">
        <v>9</v>
      </c>
      <c r="D68" s="334">
        <v>275918.77061000001</v>
      </c>
      <c r="E68" s="334">
        <v>38</v>
      </c>
      <c r="F68" s="334">
        <v>352990.10187000001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118719473</v>
      </c>
      <c r="E73" s="476">
        <v>122009116.17076428</v>
      </c>
    </row>
    <row r="74" spans="1:6">
      <c r="A74" s="348" t="s">
        <v>64</v>
      </c>
      <c r="B74" s="348" t="s">
        <v>667</v>
      </c>
      <c r="C74" s="1212" t="s">
        <v>669</v>
      </c>
      <c r="D74" s="476">
        <v>9812726.0381787848</v>
      </c>
      <c r="E74" s="476">
        <v>10091871.408505796</v>
      </c>
    </row>
    <row r="75" spans="1:6">
      <c r="A75" s="348" t="s">
        <v>65</v>
      </c>
      <c r="B75" s="348" t="s">
        <v>666</v>
      </c>
      <c r="C75" s="1212" t="s">
        <v>670</v>
      </c>
      <c r="D75" s="476">
        <v>16767231</v>
      </c>
      <c r="E75" s="476">
        <v>17226447.44583476</v>
      </c>
    </row>
    <row r="76" spans="1:6">
      <c r="A76" s="348" t="s">
        <v>65</v>
      </c>
      <c r="B76" s="348" t="s">
        <v>667</v>
      </c>
      <c r="C76" s="1212" t="s">
        <v>671</v>
      </c>
      <c r="D76" s="476">
        <v>305898.03817878541</v>
      </c>
      <c r="E76" s="476">
        <v>323965.17197442643</v>
      </c>
    </row>
    <row r="77" spans="1:6">
      <c r="A77" s="348" t="s">
        <v>66</v>
      </c>
      <c r="B77" s="348" t="s">
        <v>666</v>
      </c>
      <c r="C77" s="1212" t="s">
        <v>672</v>
      </c>
      <c r="D77" s="476">
        <v>192513255</v>
      </c>
      <c r="E77" s="476">
        <v>214082982.7748175</v>
      </c>
    </row>
    <row r="78" spans="1:6">
      <c r="A78" s="341" t="s">
        <v>66</v>
      </c>
      <c r="B78" s="341" t="s">
        <v>667</v>
      </c>
      <c r="C78" s="341" t="s">
        <v>673</v>
      </c>
      <c r="D78" s="1213">
        <v>52481588</v>
      </c>
      <c r="E78" s="1213">
        <v>53660822.021152258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947099.92364242917</v>
      </c>
      <c r="C83" s="476">
        <v>947099.92364242917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10582.44105047903</v>
      </c>
    </row>
    <row r="91" spans="1:6">
      <c r="A91" s="348" t="s">
        <v>68</v>
      </c>
      <c r="B91" s="334">
        <v>6519.8841898409983</v>
      </c>
    </row>
    <row r="92" spans="1:6">
      <c r="A92" s="341" t="s">
        <v>69</v>
      </c>
      <c r="B92" s="342">
        <v>5152.2543487705125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4748</v>
      </c>
    </row>
    <row r="98" spans="1:6">
      <c r="A98" s="348" t="s">
        <v>72</v>
      </c>
      <c r="B98" s="334">
        <v>10</v>
      </c>
    </row>
    <row r="99" spans="1:6">
      <c r="A99" s="348" t="s">
        <v>73</v>
      </c>
      <c r="B99" s="334">
        <v>189</v>
      </c>
    </row>
    <row r="100" spans="1:6">
      <c r="A100" s="348" t="s">
        <v>74</v>
      </c>
      <c r="B100" s="334">
        <v>1489</v>
      </c>
    </row>
    <row r="101" spans="1:6">
      <c r="A101" s="348" t="s">
        <v>75</v>
      </c>
      <c r="B101" s="334">
        <v>259</v>
      </c>
    </row>
    <row r="102" spans="1:6">
      <c r="A102" s="348" t="s">
        <v>76</v>
      </c>
      <c r="B102" s="334">
        <v>107</v>
      </c>
    </row>
    <row r="103" spans="1:6">
      <c r="A103" s="348" t="s">
        <v>77</v>
      </c>
      <c r="B103" s="334">
        <v>243</v>
      </c>
    </row>
    <row r="104" spans="1:6">
      <c r="A104" s="348" t="s">
        <v>78</v>
      </c>
      <c r="B104" s="334">
        <v>2196</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65</v>
      </c>
      <c r="C123" s="334">
        <v>55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205</v>
      </c>
    </row>
    <row r="130" spans="1:6">
      <c r="A130" s="348" t="s">
        <v>295</v>
      </c>
      <c r="B130" s="334">
        <v>9</v>
      </c>
    </row>
    <row r="131" spans="1:6">
      <c r="A131" s="348" t="s">
        <v>296</v>
      </c>
      <c r="B131" s="334">
        <v>3</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137103.44919166621</v>
      </c>
      <c r="C3" s="43" t="s">
        <v>170</v>
      </c>
      <c r="D3" s="43"/>
      <c r="E3" s="154"/>
      <c r="F3" s="43"/>
      <c r="G3" s="43"/>
      <c r="H3" s="43"/>
      <c r="I3" s="43"/>
      <c r="J3" s="43"/>
      <c r="K3" s="96"/>
    </row>
    <row r="4" spans="1:11">
      <c r="A4" s="383" t="s">
        <v>171</v>
      </c>
      <c r="B4" s="49">
        <f>IF(ISERROR('SEAP template'!B69),0,'SEAP template'!B69)</f>
        <v>44522.379589090546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1250.1423529411763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0.15835165973658136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1785.9176470588238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7639.7142857142862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0.2337675965707724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1534.2460000000001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1534.2460000000001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0.15835165973658136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242.95040054421102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53541.059036999999</v>
      </c>
      <c r="C5" s="17">
        <f>IF(ISERROR('Eigen informatie GS &amp; warmtenet'!B57),0,'Eigen informatie GS &amp; warmtenet'!B57)</f>
        <v>0</v>
      </c>
      <c r="D5" s="30">
        <f>(SUM(HH_hh_gas_kWh,HH_rest_gas_kWh)/1000)*0.902</f>
        <v>122026.62776744</v>
      </c>
      <c r="E5" s="17">
        <f>B46*B57</f>
        <v>7779.3506940368407</v>
      </c>
      <c r="F5" s="17">
        <f>B51*B62</f>
        <v>0</v>
      </c>
      <c r="G5" s="18"/>
      <c r="H5" s="17"/>
      <c r="I5" s="17"/>
      <c r="J5" s="17">
        <f>B50*B61+C50*C61</f>
        <v>0</v>
      </c>
      <c r="K5" s="17"/>
      <c r="L5" s="17"/>
      <c r="M5" s="17"/>
      <c r="N5" s="17">
        <f>B48*B59+C48*C59</f>
        <v>30276.783581201733</v>
      </c>
      <c r="O5" s="17">
        <f>B69*B70*B71</f>
        <v>406.4666666666667</v>
      </c>
      <c r="P5" s="17">
        <f>B77*B78*B79/1000-B77*B78*B79/1000/B80</f>
        <v>2097.3333333333335</v>
      </c>
    </row>
    <row r="6" spans="1:16">
      <c r="A6" s="16" t="s">
        <v>624</v>
      </c>
      <c r="B6" s="843">
        <f>kWh_PV_kleiner_dan_10kW</f>
        <v>6519.8841898409983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60060.943226840995</v>
      </c>
      <c r="C8" s="21">
        <f>C5</f>
        <v>0</v>
      </c>
      <c r="D8" s="21">
        <f>D5</f>
        <v>122026.62776744</v>
      </c>
      <c r="E8" s="21">
        <f>E5</f>
        <v>7779.3506940368407</v>
      </c>
      <c r="F8" s="21">
        <f>F5</f>
        <v>0</v>
      </c>
      <c r="G8" s="21"/>
      <c r="H8" s="21"/>
      <c r="I8" s="21"/>
      <c r="J8" s="21">
        <f>J5</f>
        <v>0</v>
      </c>
      <c r="K8" s="21"/>
      <c r="L8" s="21">
        <f>L5</f>
        <v>0</v>
      </c>
      <c r="M8" s="21">
        <f>M5</f>
        <v>0</v>
      </c>
      <c r="N8" s="21">
        <f>N5</f>
        <v>30276.783581201733</v>
      </c>
      <c r="O8" s="21">
        <f>O5</f>
        <v>406.4666666666667</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0.15835165973658136</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9510.750045314855</v>
      </c>
      <c r="C12" s="23">
        <f ca="1">C10*C8</f>
        <v>0</v>
      </c>
      <c r="D12" s="23">
        <f>D8*D10</f>
        <v>24649.378809022881</v>
      </c>
      <c r="E12" s="23">
        <f>E10*E8</f>
        <v>1765.9126075463628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4748</v>
      </c>
      <c r="C18" s="166" t="s">
        <v>111</v>
      </c>
      <c r="D18" s="228"/>
      <c r="E18" s="15"/>
    </row>
    <row r="19" spans="1:7">
      <c r="A19" s="171" t="s">
        <v>72</v>
      </c>
      <c r="B19" s="37">
        <f>aantalw2001_ander</f>
        <v>10</v>
      </c>
      <c r="C19" s="166" t="s">
        <v>111</v>
      </c>
      <c r="D19" s="229"/>
      <c r="E19" s="15"/>
    </row>
    <row r="20" spans="1:7">
      <c r="A20" s="171" t="s">
        <v>73</v>
      </c>
      <c r="B20" s="37">
        <f>aantalw2001_propaan</f>
        <v>189</v>
      </c>
      <c r="C20" s="167">
        <f>IF(ISERROR(B20/SUM($B$20,$B$21,$B$22)*100),0,B20/SUM($B$20,$B$21,$B$22)*100)</f>
        <v>9.7573567372225085</v>
      </c>
      <c r="D20" s="229"/>
      <c r="E20" s="15"/>
    </row>
    <row r="21" spans="1:7">
      <c r="A21" s="171" t="s">
        <v>74</v>
      </c>
      <c r="B21" s="37">
        <f>aantalw2001_elektriciteit</f>
        <v>1489</v>
      </c>
      <c r="C21" s="167">
        <f>IF(ISERROR(B21/SUM($B$20,$B$21,$B$22)*100),0,B21/SUM($B$20,$B$21,$B$22)*100)</f>
        <v>76.871450696954057</v>
      </c>
      <c r="D21" s="229"/>
      <c r="E21" s="15"/>
    </row>
    <row r="22" spans="1:7">
      <c r="A22" s="171" t="s">
        <v>75</v>
      </c>
      <c r="B22" s="37">
        <f>aantalw2001_hout</f>
        <v>259</v>
      </c>
      <c r="C22" s="167">
        <f>IF(ISERROR(B22/SUM($B$20,$B$21,$B$22)*100),0,B22/SUM($B$20,$B$21,$B$22)*100)</f>
        <v>13.371192565823439</v>
      </c>
      <c r="D22" s="229"/>
      <c r="E22" s="15"/>
    </row>
    <row r="23" spans="1:7">
      <c r="A23" s="171" t="s">
        <v>76</v>
      </c>
      <c r="B23" s="37">
        <f>aantalw2001_niet_gespec</f>
        <v>107</v>
      </c>
      <c r="C23" s="166" t="s">
        <v>111</v>
      </c>
      <c r="D23" s="228"/>
      <c r="E23" s="15"/>
    </row>
    <row r="24" spans="1:7">
      <c r="A24" s="171" t="s">
        <v>77</v>
      </c>
      <c r="B24" s="37">
        <f>aantalw2001_steenkool</f>
        <v>243</v>
      </c>
      <c r="C24" s="166" t="s">
        <v>111</v>
      </c>
      <c r="D24" s="229"/>
      <c r="E24" s="15"/>
    </row>
    <row r="25" spans="1:7">
      <c r="A25" s="171" t="s">
        <v>78</v>
      </c>
      <c r="B25" s="37">
        <f>aantalw2001_stookolie</f>
        <v>2196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11234</v>
      </c>
      <c r="C28" s="36"/>
      <c r="D28" s="228"/>
    </row>
    <row r="29" spans="1:7" s="15" customFormat="1">
      <c r="A29" s="230" t="s">
        <v>699</v>
      </c>
      <c r="B29" s="37">
        <f>SUM(HH_hh_gas_aantal,HH_rest_gas_aantal)</f>
        <v>7599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7599</v>
      </c>
      <c r="C32" s="167">
        <f>IF(ISERROR(B32/SUM($B$32,$B$34,$B$35,$B$36,$B$38,$B$39)*100),0,B32/SUM($B$32,$B$34,$B$35,$B$36,$B$38,$B$39)*100)</f>
        <v>68.311758360302051</v>
      </c>
      <c r="D32" s="233"/>
      <c r="G32" s="15"/>
    </row>
    <row r="33" spans="1:7">
      <c r="A33" s="171" t="s">
        <v>72</v>
      </c>
      <c r="B33" s="34" t="s">
        <v>111</v>
      </c>
      <c r="C33" s="167"/>
      <c r="D33" s="233"/>
      <c r="G33" s="15"/>
    </row>
    <row r="34" spans="1:7">
      <c r="A34" s="171" t="s">
        <v>73</v>
      </c>
      <c r="B34" s="33">
        <f>IF((($B$28-$B$32-$B$39-$B$77-$B$38)*C20/100)&lt;0,0,($B$28-$B$32-$B$39-$B$77-$B$38)*C20/100)</f>
        <v>343.94682498709341</v>
      </c>
      <c r="C34" s="167">
        <f>IF(ISERROR(B34/SUM($B$32,$B$34,$B$35,$B$36,$B$38,$B$39)*100),0,B34/SUM($B$32,$B$34,$B$35,$B$36,$B$38,$B$39)*100)</f>
        <v>3.0919347805384163</v>
      </c>
      <c r="D34" s="233"/>
      <c r="G34" s="15"/>
    </row>
    <row r="35" spans="1:7">
      <c r="A35" s="171" t="s">
        <v>74</v>
      </c>
      <c r="B35" s="33">
        <f>IF((($B$28-$B$32-$B$39-$B$77-$B$38)*C21/100)&lt;0,0,($B$28-$B$32-$B$39-$B$77-$B$38)*C21/100)</f>
        <v>2709.7186370676309</v>
      </c>
      <c r="C35" s="167">
        <f>IF(ISERROR(B35/SUM($B$32,$B$34,$B$35,$B$36,$B$38,$B$39)*100),0,B35/SUM($B$32,$B$34,$B$35,$B$36,$B$38,$B$39)*100)</f>
        <v>24.35921104879208</v>
      </c>
      <c r="D35" s="233"/>
      <c r="G35" s="15"/>
    </row>
    <row r="36" spans="1:7">
      <c r="A36" s="171" t="s">
        <v>75</v>
      </c>
      <c r="B36" s="33">
        <f>IF((($B$28-$B$32-$B$39-$B$77-$B$38)*C22/100)&lt;0,0,($B$28-$B$32-$B$39-$B$77-$B$38)*C22/100)</f>
        <v>471.33453794527622</v>
      </c>
      <c r="C36" s="167">
        <f>IF(ISERROR(B36/SUM($B$32,$B$34,$B$35,$B$36,$B$38,$B$39)*100),0,B36/SUM($B$32,$B$34,$B$35,$B$36,$B$38,$B$39)*100)</f>
        <v>4.2370958103674594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7599</v>
      </c>
      <c r="C44" s="34" t="s">
        <v>111</v>
      </c>
      <c r="D44" s="174"/>
    </row>
    <row r="45" spans="1:7">
      <c r="A45" s="171" t="s">
        <v>72</v>
      </c>
      <c r="B45" s="33" t="str">
        <f t="shared" si="0"/>
        <v>-</v>
      </c>
      <c r="C45" s="34" t="s">
        <v>111</v>
      </c>
      <c r="D45" s="174"/>
    </row>
    <row r="46" spans="1:7">
      <c r="A46" s="171" t="s">
        <v>73</v>
      </c>
      <c r="B46" s="33">
        <f t="shared" si="0"/>
        <v>343.94682498709341</v>
      </c>
      <c r="C46" s="34" t="s">
        <v>111</v>
      </c>
      <c r="D46" s="174"/>
    </row>
    <row r="47" spans="1:7">
      <c r="A47" s="171" t="s">
        <v>74</v>
      </c>
      <c r="B47" s="33">
        <f t="shared" si="0"/>
        <v>2709.7186370676309</v>
      </c>
      <c r="C47" s="34" t="s">
        <v>111</v>
      </c>
      <c r="D47" s="174"/>
    </row>
    <row r="48" spans="1:7">
      <c r="A48" s="171" t="s">
        <v>75</v>
      </c>
      <c r="B48" s="33">
        <f t="shared" si="0"/>
        <v>471.33453794527622</v>
      </c>
      <c r="C48" s="33">
        <f>B48*10</f>
        <v>4713.3453794527622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26023.697861095003</v>
      </c>
      <c r="C5" s="17">
        <f>IF(ISERROR('Eigen informatie GS &amp; warmtenet'!B58),0,'Eigen informatie GS &amp; warmtenet'!B58)</f>
        <v>0</v>
      </c>
      <c r="D5" s="30">
        <f>SUM(D6:D12)</f>
        <v>30654.416391145362</v>
      </c>
      <c r="E5" s="17">
        <f>SUM(E6:E12)</f>
        <v>534.43259867503502</v>
      </c>
      <c r="F5" s="17">
        <f>SUM(F6:F12)</f>
        <v>6716.1478465153941</v>
      </c>
      <c r="G5" s="18"/>
      <c r="H5" s="17"/>
      <c r="I5" s="17"/>
      <c r="J5" s="17">
        <f>SUM(J6:J12)</f>
        <v>0</v>
      </c>
      <c r="K5" s="17"/>
      <c r="L5" s="17"/>
      <c r="M5" s="17"/>
      <c r="N5" s="17">
        <f>SUM(N6:N12)</f>
        <v>2949.800533312869</v>
      </c>
      <c r="O5" s="17">
        <f>B38*B39*B40</f>
        <v>14.070000000000002</v>
      </c>
      <c r="P5" s="17">
        <f>B46*B47*B48/1000-B46*B47*B48/1000/B49</f>
        <v>57.2</v>
      </c>
      <c r="R5" s="32"/>
    </row>
    <row r="6" spans="1:18">
      <c r="A6" s="32" t="s">
        <v>54</v>
      </c>
      <c r="B6" s="37">
        <f>B26</f>
        <v>7212.7576687000001</v>
      </c>
      <c r="C6" s="33"/>
      <c r="D6" s="37">
        <f>IF(ISERROR(TER_kantoor_gas_kWh/1000),0,TER_kantoor_gas_kWh/1000)*0.902</f>
        <v>6595.1629888913994</v>
      </c>
      <c r="E6" s="33">
        <f>$C$26*'E Balans VL '!I12/100/3.6*1000000</f>
        <v>94.423882712394885</v>
      </c>
      <c r="F6" s="33">
        <f>$C$26*('E Balans VL '!L12+'E Balans VL '!N12)/100/3.6*1000000</f>
        <v>1839.1786716649572</v>
      </c>
      <c r="G6" s="34"/>
      <c r="H6" s="33"/>
      <c r="I6" s="33"/>
      <c r="J6" s="33">
        <f>$C$26*('E Balans VL '!D12+'E Balans VL '!E12)/100/3.6*1000000</f>
        <v>0</v>
      </c>
      <c r="K6" s="33"/>
      <c r="L6" s="33"/>
      <c r="M6" s="33"/>
      <c r="N6" s="33">
        <f>$C$26*'E Balans VL '!Y12/100/3.6*1000000</f>
        <v>7.2370462438137846</v>
      </c>
      <c r="O6" s="33"/>
      <c r="P6" s="33"/>
      <c r="R6" s="32"/>
    </row>
    <row r="7" spans="1:18">
      <c r="A7" s="32" t="s">
        <v>53</v>
      </c>
      <c r="B7" s="37">
        <f t="shared" ref="B7:B12" si="0">B27</f>
        <v>3932.3882269999999</v>
      </c>
      <c r="C7" s="33"/>
      <c r="D7" s="37">
        <f>IF(ISERROR(TER_horeca_gas_kWh/1000),0,TER_horeca_gas_kWh/1000)*0.902</f>
        <v>8535.7361058772021</v>
      </c>
      <c r="E7" s="33">
        <f>$C$27*'E Balans VL '!I9/100/3.6*1000000</f>
        <v>130.13813039853122</v>
      </c>
      <c r="F7" s="33">
        <f>$C$27*('E Balans VL '!L9+'E Balans VL '!N9)/100/3.6*1000000</f>
        <v>1690.911866872822</v>
      </c>
      <c r="G7" s="34"/>
      <c r="H7" s="33"/>
      <c r="I7" s="33"/>
      <c r="J7" s="33">
        <f>$C$27*('E Balans VL '!D9+'E Balans VL '!E9)/100/3.6*1000000</f>
        <v>0</v>
      </c>
      <c r="K7" s="33"/>
      <c r="L7" s="33"/>
      <c r="M7" s="33"/>
      <c r="N7" s="33">
        <f>$C$27*'E Balans VL '!Y9/100/3.6*1000000</f>
        <v>0.94658295078265897</v>
      </c>
      <c r="O7" s="33"/>
      <c r="P7" s="33"/>
      <c r="R7" s="32"/>
    </row>
    <row r="8" spans="1:18">
      <c r="A8" s="6" t="s">
        <v>52</v>
      </c>
      <c r="B8" s="37">
        <f t="shared" si="0"/>
        <v>8246.4844642000007</v>
      </c>
      <c r="C8" s="33"/>
      <c r="D8" s="37">
        <f>IF(ISERROR(TER_handel_gas_kWh/1000),0,TER_handel_gas_kWh/1000)*0.902</f>
        <v>4983.2396006030003</v>
      </c>
      <c r="E8" s="33">
        <f>$C$28*'E Balans VL '!I13/100/3.6*1000000</f>
        <v>260.2716499433468</v>
      </c>
      <c r="F8" s="33">
        <f>$C$28*('E Balans VL '!L13+'E Balans VL '!N13)/100/3.6*1000000</f>
        <v>1617.2808150055009</v>
      </c>
      <c r="G8" s="34"/>
      <c r="H8" s="33"/>
      <c r="I8" s="33"/>
      <c r="J8" s="33">
        <f>$C$28*('E Balans VL '!D13+'E Balans VL '!E13)/100/3.6*1000000</f>
        <v>0</v>
      </c>
      <c r="K8" s="33"/>
      <c r="L8" s="33"/>
      <c r="M8" s="33"/>
      <c r="N8" s="33">
        <f>$C$28*'E Balans VL '!Y13/100/3.6*1000000</f>
        <v>9.7869760237017331</v>
      </c>
      <c r="O8" s="33"/>
      <c r="P8" s="33"/>
      <c r="R8" s="32"/>
    </row>
    <row r="9" spans="1:18">
      <c r="A9" s="32" t="s">
        <v>51</v>
      </c>
      <c r="B9" s="37">
        <f t="shared" si="0"/>
        <v>609.31081489999997</v>
      </c>
      <c r="C9" s="33"/>
      <c r="D9" s="37">
        <f>IF(ISERROR(TER_gezond_gas_kWh/1000),0,TER_gezond_gas_kWh/1000)*0.902</f>
        <v>1576.1054753026001</v>
      </c>
      <c r="E9" s="33">
        <f>$C$29*'E Balans VL '!I10/100/3.6*1000000</f>
        <v>7.8009609299586724E-2</v>
      </c>
      <c r="F9" s="33">
        <f>$C$29*('E Balans VL '!L10+'E Balans VL '!N10)/100/3.6*1000000</f>
        <v>126.94498130036213</v>
      </c>
      <c r="G9" s="34"/>
      <c r="H9" s="33"/>
      <c r="I9" s="33"/>
      <c r="J9" s="33">
        <f>$C$29*('E Balans VL '!D10+'E Balans VL '!E10)/100/3.6*1000000</f>
        <v>0</v>
      </c>
      <c r="K9" s="33"/>
      <c r="L9" s="33"/>
      <c r="M9" s="33"/>
      <c r="N9" s="33">
        <f>$C$29*'E Balans VL '!Y10/100/3.6*1000000</f>
        <v>7.1566435191535342</v>
      </c>
      <c r="O9" s="33"/>
      <c r="P9" s="33"/>
      <c r="R9" s="32"/>
    </row>
    <row r="10" spans="1:18">
      <c r="A10" s="32" t="s">
        <v>50</v>
      </c>
      <c r="B10" s="37">
        <f t="shared" si="0"/>
        <v>3429.7779076000002</v>
      </c>
      <c r="C10" s="33"/>
      <c r="D10" s="37">
        <f>IF(ISERROR(TER_ander_gas_kWh/1000),0,TER_ander_gas_kWh/1000)*0.902</f>
        <v>4256.4095189396003</v>
      </c>
      <c r="E10" s="33">
        <f>$C$30*'E Balans VL '!I14/100/3.6*1000000</f>
        <v>5.1575794072923218</v>
      </c>
      <c r="F10" s="33">
        <f>$C$30*('E Balans VL '!L14+'E Balans VL '!N14)/100/3.6*1000000</f>
        <v>757.18440448947183</v>
      </c>
      <c r="G10" s="34"/>
      <c r="H10" s="33"/>
      <c r="I10" s="33"/>
      <c r="J10" s="33">
        <f>$C$30*('E Balans VL '!D14+'E Balans VL '!E14)/100/3.6*1000000</f>
        <v>0</v>
      </c>
      <c r="K10" s="33"/>
      <c r="L10" s="33"/>
      <c r="M10" s="33"/>
      <c r="N10" s="33">
        <f>$C$30*'E Balans VL '!Y14/100/3.6*1000000</f>
        <v>2702.8958065393763</v>
      </c>
      <c r="O10" s="33"/>
      <c r="P10" s="33"/>
      <c r="R10" s="32"/>
    </row>
    <row r="11" spans="1:18">
      <c r="A11" s="32" t="s">
        <v>55</v>
      </c>
      <c r="B11" s="37">
        <f t="shared" si="0"/>
        <v>81.409247995000001</v>
      </c>
      <c r="C11" s="33"/>
      <c r="D11" s="37">
        <f>IF(ISERROR(TER_onderwijs_gas_kWh/1000),0,TER_onderwijs_gas_kWh/1000)*0.902</f>
        <v>613.4762805001601</v>
      </c>
      <c r="E11" s="33">
        <f>$C$31*'E Balans VL '!I11/100/3.6*1000000</f>
        <v>0.14336850779059554</v>
      </c>
      <c r="F11" s="33">
        <f>$C$31*('E Balans VL '!L11+'E Balans VL '!N11)/100/3.6*1000000</f>
        <v>37.588122897197586</v>
      </c>
      <c r="G11" s="34"/>
      <c r="H11" s="33"/>
      <c r="I11" s="33"/>
      <c r="J11" s="33">
        <f>$C$31*('E Balans VL '!D11+'E Balans VL '!E11)/100/3.6*1000000</f>
        <v>0</v>
      </c>
      <c r="K11" s="33"/>
      <c r="L11" s="33"/>
      <c r="M11" s="33"/>
      <c r="N11" s="33">
        <f>$C$31*'E Balans VL '!Y11/100/3.6*1000000</f>
        <v>0.15166655480516056</v>
      </c>
      <c r="O11" s="33"/>
      <c r="P11" s="33"/>
      <c r="R11" s="32"/>
    </row>
    <row r="12" spans="1:18">
      <c r="A12" s="32" t="s">
        <v>260</v>
      </c>
      <c r="B12" s="37">
        <f t="shared" si="0"/>
        <v>2511.5695307000001</v>
      </c>
      <c r="C12" s="33"/>
      <c r="D12" s="37">
        <f>IF(ISERROR(TER_rest_gas_kWh/1000),0,TER_rest_gas_kWh/1000)*0.902</f>
        <v>4094.2864210314001</v>
      </c>
      <c r="E12" s="33">
        <f>$C$32*'E Balans VL '!I8/100/3.6*1000000</f>
        <v>44.219978096379656</v>
      </c>
      <c r="F12" s="33">
        <f>$C$32*('E Balans VL '!L8+'E Balans VL '!N8)/100/3.6*1000000</f>
        <v>647.05898428508351</v>
      </c>
      <c r="G12" s="34"/>
      <c r="H12" s="33"/>
      <c r="I12" s="33"/>
      <c r="J12" s="33">
        <f>$C$32*('E Balans VL '!D8+'E Balans VL '!E8)/100/3.6*1000000</f>
        <v>0</v>
      </c>
      <c r="K12" s="33"/>
      <c r="L12" s="33"/>
      <c r="M12" s="33"/>
      <c r="N12" s="33">
        <f>$C$32*'E Balans VL '!Y8/100/3.6*1000000</f>
        <v>221.62581148123584</v>
      </c>
      <c r="O12" s="33"/>
      <c r="P12" s="33"/>
      <c r="R12" s="32"/>
    </row>
    <row r="13" spans="1:18">
      <c r="A13" s="16" t="s">
        <v>491</v>
      </c>
      <c r="B13" s="247">
        <f ca="1">'lokale energieproductie'!N90+'lokale energieproductie'!N59</f>
        <v>16920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-48342.857142857152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42943.697861095003</v>
      </c>
      <c r="C16" s="21">
        <f t="shared" ca="1" si="1"/>
        <v>0</v>
      </c>
      <c r="D16" s="21">
        <f t="shared" ca="1" si="1"/>
        <v>30654.416391145362</v>
      </c>
      <c r="E16" s="21">
        <f t="shared" si="1"/>
        <v>534.43259867503502</v>
      </c>
      <c r="F16" s="21">
        <f t="shared" ca="1" si="1"/>
        <v>6716.1478465153941</v>
      </c>
      <c r="G16" s="21">
        <f t="shared" si="1"/>
        <v>0</v>
      </c>
      <c r="H16" s="21">
        <f t="shared" si="1"/>
        <v>0</v>
      </c>
      <c r="I16" s="21">
        <f t="shared" si="1"/>
        <v>0</v>
      </c>
      <c r="J16" s="21">
        <f t="shared" si="1"/>
        <v>0</v>
      </c>
      <c r="K16" s="21">
        <f t="shared" si="1"/>
        <v>0</v>
      </c>
      <c r="L16" s="21">
        <f t="shared" ca="1" si="1"/>
        <v>0</v>
      </c>
      <c r="M16" s="21">
        <f t="shared" si="1"/>
        <v>0</v>
      </c>
      <c r="N16" s="21">
        <f t="shared" ca="1" si="1"/>
        <v>0</v>
      </c>
      <c r="O16" s="21">
        <f>O5</f>
        <v>14.070000000000002</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0.15835165973658136</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6800.2058315306722</v>
      </c>
      <c r="C20" s="23">
        <f t="shared" ref="C20:P20" ca="1" si="2">C16*C18</f>
        <v>0</v>
      </c>
      <c r="D20" s="23">
        <f t="shared" ca="1" si="2"/>
        <v>6192.1921110113635</v>
      </c>
      <c r="E20" s="23">
        <f t="shared" si="2"/>
        <v>121.31619989923296</v>
      </c>
      <c r="F20" s="23">
        <f t="shared" ca="1" si="2"/>
        <v>1793.2114750196104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7212.7576687000001</v>
      </c>
      <c r="C26" s="39">
        <f>IF(ISERROR(B26*3.6/1000000/'E Balans VL '!Z12*100),0,B26*3.6/1000000/'E Balans VL '!Z12*100)</f>
        <v>0.15450287263679413</v>
      </c>
      <c r="D26" s="237" t="s">
        <v>660</v>
      </c>
      <c r="F26" s="6"/>
    </row>
    <row r="27" spans="1:18">
      <c r="A27" s="231" t="s">
        <v>53</v>
      </c>
      <c r="B27" s="33">
        <f>IF(ISERROR(TER_horeca_ele_kWh/1000),0,TER_horeca_ele_kWh/1000)</f>
        <v>3932.3882269999999</v>
      </c>
      <c r="C27" s="39">
        <f>IF(ISERROR(B27*3.6/1000000/'E Balans VL '!Z9*100),0,B27*3.6/1000000/'E Balans VL '!Z9*100)</f>
        <v>0.31556048637479306</v>
      </c>
      <c r="D27" s="237" t="s">
        <v>660</v>
      </c>
      <c r="F27" s="6"/>
    </row>
    <row r="28" spans="1:18">
      <c r="A28" s="171" t="s">
        <v>52</v>
      </c>
      <c r="B28" s="33">
        <f>IF(ISERROR(TER_handel_ele_kWh/1000),0,TER_handel_ele_kWh/1000)</f>
        <v>8246.4844642000007</v>
      </c>
      <c r="C28" s="39">
        <f>IF(ISERROR(B28*3.6/1000000/'E Balans VL '!Z13*100),0,B28*3.6/1000000/'E Balans VL '!Z13*100)</f>
        <v>0.24322399174565504</v>
      </c>
      <c r="D28" s="237" t="s">
        <v>660</v>
      </c>
      <c r="F28" s="6"/>
    </row>
    <row r="29" spans="1:18">
      <c r="A29" s="231" t="s">
        <v>51</v>
      </c>
      <c r="B29" s="33">
        <f>IF(ISERROR(TER_gezond_ele_kWh/1000),0,TER_gezond_ele_kWh/1000)</f>
        <v>609.31081489999997</v>
      </c>
      <c r="C29" s="39">
        <f>IF(ISERROR(B29*3.6/1000000/'E Balans VL '!Z10*100),0,B29*3.6/1000000/'E Balans VL '!Z10*100)</f>
        <v>6.5058058795768731E-2</v>
      </c>
      <c r="D29" s="237" t="s">
        <v>660</v>
      </c>
      <c r="F29" s="6"/>
    </row>
    <row r="30" spans="1:18">
      <c r="A30" s="231" t="s">
        <v>50</v>
      </c>
      <c r="B30" s="33">
        <f>IF(ISERROR(TER_ander_ele_kWh/1000),0,TER_ander_ele_kWh/1000)</f>
        <v>3429.7779076000002</v>
      </c>
      <c r="C30" s="39">
        <f>IF(ISERROR(B30*3.6/1000000/'E Balans VL '!Z14*100),0,B30*3.6/1000000/'E Balans VL '!Z14*100)</f>
        <v>0.25906459355560896</v>
      </c>
      <c r="D30" s="237" t="s">
        <v>660</v>
      </c>
      <c r="F30" s="6"/>
    </row>
    <row r="31" spans="1:18">
      <c r="A31" s="231" t="s">
        <v>55</v>
      </c>
      <c r="B31" s="33">
        <f>IF(ISERROR(TER_onderwijs_ele_kWh/1000),0,TER_onderwijs_ele_kWh/1000)</f>
        <v>81.409247995000001</v>
      </c>
      <c r="C31" s="39">
        <f>IF(ISERROR(B31*3.6/1000000/'E Balans VL '!Z11*100),0,B31*3.6/1000000/'E Balans VL '!Z11*100)</f>
        <v>1.6439244820838535E-2</v>
      </c>
      <c r="D31" s="237" t="s">
        <v>660</v>
      </c>
    </row>
    <row r="32" spans="1:18">
      <c r="A32" s="231" t="s">
        <v>260</v>
      </c>
      <c r="B32" s="33">
        <f>IF(ISERROR(TER_rest_ele_kWh/1000),0,TER_rest_ele_kWh/1000)</f>
        <v>2511.5695307000001</v>
      </c>
      <c r="C32" s="39">
        <f>IF(ISERROR(B32*3.6/1000000/'E Balans VL '!Z8*100),0,B32*3.6/1000000/'E Balans VL '!Z8*100)</f>
        <v>2.0824408744844303E-2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27888.669845290002</v>
      </c>
      <c r="C5" s="17">
        <f>IF(ISERROR('Eigen informatie GS &amp; warmtenet'!B59),0,'Eigen informatie GS &amp; warmtenet'!B59)</f>
        <v>0</v>
      </c>
      <c r="D5" s="30">
        <f>SUM(D6:D15)</f>
        <v>21394.025646690621</v>
      </c>
      <c r="E5" s="17">
        <f>SUM(E6:E15)</f>
        <v>1961.0436832727819</v>
      </c>
      <c r="F5" s="17">
        <f>SUM(F6:F15)</f>
        <v>8052.4963328642207</v>
      </c>
      <c r="G5" s="18"/>
      <c r="H5" s="17"/>
      <c r="I5" s="17"/>
      <c r="J5" s="17">
        <f>SUM(J6:J15)</f>
        <v>176.49990003197533</v>
      </c>
      <c r="K5" s="17"/>
      <c r="L5" s="17"/>
      <c r="M5" s="17"/>
      <c r="N5" s="17">
        <f>SUM(N6:N15)</f>
        <v>5402.2909201318198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1484.9191754000001</v>
      </c>
      <c r="C8" s="33"/>
      <c r="D8" s="37">
        <f>IF( ISERROR(IND_metaal_Gas_kWH/1000),0,IND_metaal_Gas_kWH/1000)*0.902</f>
        <v>471.87735266759995</v>
      </c>
      <c r="E8" s="33">
        <f>C30*'E Balans VL '!I18/100/3.6*1000000</f>
        <v>53.43188411591386</v>
      </c>
      <c r="F8" s="33">
        <f>C30*'E Balans VL '!L18/100/3.6*1000000+C30*'E Balans VL '!N18/100/3.6*1000000</f>
        <v>648.4160679964491</v>
      </c>
      <c r="G8" s="34"/>
      <c r="H8" s="33"/>
      <c r="I8" s="33"/>
      <c r="J8" s="40">
        <f>C30*'E Balans VL '!D18/100/3.6*1000000+C30*'E Balans VL '!E18/100/3.6*1000000</f>
        <v>0</v>
      </c>
      <c r="K8" s="33"/>
      <c r="L8" s="33"/>
      <c r="M8" s="33"/>
      <c r="N8" s="33">
        <f>C30*'E Balans VL '!Y18/100/3.6*1000000</f>
        <v>74.423139961543484</v>
      </c>
      <c r="O8" s="33"/>
      <c r="P8" s="33"/>
      <c r="R8" s="32"/>
    </row>
    <row r="9" spans="1:18">
      <c r="A9" s="6" t="s">
        <v>33</v>
      </c>
      <c r="B9" s="37">
        <f t="shared" si="0"/>
        <v>2712.0540019</v>
      </c>
      <c r="C9" s="33"/>
      <c r="D9" s="37">
        <f>IF( ISERROR(IND_andere_gas_kWh/1000),0,IND_andere_gas_kWh/1000)*0.902</f>
        <v>2527.8833485972004</v>
      </c>
      <c r="E9" s="33">
        <f>C31*'E Balans VL '!I19/100/3.6*1000000</f>
        <v>692.05481934440286</v>
      </c>
      <c r="F9" s="33">
        <f>C31*'E Balans VL '!L19/100/3.6*1000000+C31*'E Balans VL '!N19/100/3.6*1000000</f>
        <v>2334.8746497322691</v>
      </c>
      <c r="G9" s="34"/>
      <c r="H9" s="33"/>
      <c r="I9" s="33"/>
      <c r="J9" s="40">
        <f>C31*'E Balans VL '!D19/100/3.6*1000000+C31*'E Balans VL '!E19/100/3.6*1000000</f>
        <v>0</v>
      </c>
      <c r="K9" s="33"/>
      <c r="L9" s="33"/>
      <c r="M9" s="33"/>
      <c r="N9" s="33">
        <f>C31*'E Balans VL '!Y19/100/3.6*1000000</f>
        <v>848.1521645436145</v>
      </c>
      <c r="O9" s="33"/>
      <c r="P9" s="33"/>
      <c r="R9" s="32"/>
    </row>
    <row r="10" spans="1:18">
      <c r="A10" s="6" t="s">
        <v>41</v>
      </c>
      <c r="B10" s="37">
        <f t="shared" si="0"/>
        <v>392.96853738999999</v>
      </c>
      <c r="C10" s="33"/>
      <c r="D10" s="37">
        <f>IF( ISERROR(IND_voed_gas_kWh/1000),0,IND_voed_gas_kWh/1000)*0.902</f>
        <v>735.77903717582001</v>
      </c>
      <c r="E10" s="33">
        <f>C32*'E Balans VL '!I20/100/3.6*1000000</f>
        <v>9.9897998104741283</v>
      </c>
      <c r="F10" s="33">
        <f>C32*'E Balans VL '!L20/100/3.6*1000000+C32*'E Balans VL '!N20/100/3.6*1000000</f>
        <v>88.92288104488361</v>
      </c>
      <c r="G10" s="34"/>
      <c r="H10" s="33"/>
      <c r="I10" s="33"/>
      <c r="J10" s="40">
        <f>C32*'E Balans VL '!D20/100/3.6*1000000+C32*'E Balans VL '!E20/100/3.6*1000000</f>
        <v>0</v>
      </c>
      <c r="K10" s="33"/>
      <c r="L10" s="33"/>
      <c r="M10" s="33"/>
      <c r="N10" s="33">
        <f>C32*'E Balans VL '!Y20/100/3.6*1000000</f>
        <v>147.37385335243147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1784.1459886</v>
      </c>
      <c r="C12" s="33"/>
      <c r="D12" s="37">
        <f>IF( ISERROR(IND_min_gas_kWh/1000),0,IND_min_gas_kWh/1000)*0.902</f>
        <v>0</v>
      </c>
      <c r="E12" s="33">
        <f>C34*'E Balans VL '!I22/100/3.6*1000000</f>
        <v>37.908630791438611</v>
      </c>
      <c r="F12" s="33">
        <f>C34*'E Balans VL '!L22/100/3.6*1000000+C34*'E Balans VL '!N22/100/3.6*1000000</f>
        <v>291.09862270814938</v>
      </c>
      <c r="G12" s="34"/>
      <c r="H12" s="33"/>
      <c r="I12" s="33"/>
      <c r="J12" s="40">
        <f>C34*'E Balans VL '!D22/100/3.6*1000000+C34*'E Balans VL '!E22/100/3.6*1000000</f>
        <v>2.0786965741360501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21514.582141999999</v>
      </c>
      <c r="C15" s="33"/>
      <c r="D15" s="37">
        <f>IF( ISERROR(IND_rest_gas_kWh/1000),0,IND_rest_gas_kWh/1000)*0.902</f>
        <v>17658.485908250001</v>
      </c>
      <c r="E15" s="33">
        <f>C37*'E Balans VL '!I15/100/3.6*1000000</f>
        <v>1167.6585492105526</v>
      </c>
      <c r="F15" s="33">
        <f>C37*'E Balans VL '!L15/100/3.6*1000000+C37*'E Balans VL '!N15/100/3.6*1000000</f>
        <v>4689.1841113824703</v>
      </c>
      <c r="G15" s="34"/>
      <c r="H15" s="33"/>
      <c r="I15" s="33"/>
      <c r="J15" s="40">
        <f>C37*'E Balans VL '!D15/100/3.6*1000000+C37*'E Balans VL '!E15/100/3.6*1000000</f>
        <v>174.42120345783928</v>
      </c>
      <c r="K15" s="33"/>
      <c r="L15" s="33"/>
      <c r="M15" s="33"/>
      <c r="N15" s="33">
        <f>C37*'E Balans VL '!Y15/100/3.6*1000000</f>
        <v>4332.3417622742309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27888.669845290002</v>
      </c>
      <c r="C18" s="21">
        <f>C5+C16</f>
        <v>0</v>
      </c>
      <c r="D18" s="21">
        <f>MAX((D5+D16),0)</f>
        <v>21394.025646690621</v>
      </c>
      <c r="E18" s="21">
        <f>MAX((E5+E16),0)</f>
        <v>1961.0436832727819</v>
      </c>
      <c r="F18" s="21">
        <f>MAX((F5+F16),0)</f>
        <v>8052.4963328642207</v>
      </c>
      <c r="G18" s="21"/>
      <c r="H18" s="21"/>
      <c r="I18" s="21"/>
      <c r="J18" s="21">
        <f>MAX((J5+J16),0)</f>
        <v>176.49990003197533</v>
      </c>
      <c r="K18" s="21"/>
      <c r="L18" s="21">
        <f>MAX((L5+L16),0)</f>
        <v>0</v>
      </c>
      <c r="M18" s="21"/>
      <c r="N18" s="21">
        <f>MAX((N5+N16),0)</f>
        <v>5402.2909201318198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0.15835165973658136</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4416.2171578472198</v>
      </c>
      <c r="C22" s="23">
        <f ca="1">C18*C20</f>
        <v>0</v>
      </c>
      <c r="D22" s="23">
        <f>D18*D20</f>
        <v>4321.5931806315057</v>
      </c>
      <c r="E22" s="23">
        <f>E18*E20</f>
        <v>445.15691610292151</v>
      </c>
      <c r="F22" s="23">
        <f>F18*F20</f>
        <v>2150.0165208747471</v>
      </c>
      <c r="G22" s="23"/>
      <c r="H22" s="23"/>
      <c r="I22" s="23"/>
      <c r="J22" s="23">
        <f>J18*J20</f>
        <v>62.480964611319266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1484.9191754000001</v>
      </c>
      <c r="C30" s="39">
        <f>IF(ISERROR(B30*3.6/1000000/'E Balans VL '!Z18*100),0,B30*3.6/1000000/'E Balans VL '!Z18*100)</f>
        <v>0.31462253743919</v>
      </c>
      <c r="D30" s="237" t="s">
        <v>660</v>
      </c>
    </row>
    <row r="31" spans="1:18">
      <c r="A31" s="6" t="s">
        <v>33</v>
      </c>
      <c r="B31" s="37">
        <f>IF( ISERROR(IND_ander_ele_kWh/1000),0,IND_ander_ele_kWh/1000)</f>
        <v>2712.0540019</v>
      </c>
      <c r="C31" s="39">
        <f>IF(ISERROR(B31*3.6/1000000/'E Balans VL '!Z19*100),0,B31*3.6/1000000/'E Balans VL '!Z19*100)</f>
        <v>0.11415651110644059</v>
      </c>
      <c r="D31" s="237" t="s">
        <v>660</v>
      </c>
    </row>
    <row r="32" spans="1:18">
      <c r="A32" s="171" t="s">
        <v>41</v>
      </c>
      <c r="B32" s="37">
        <f>IF( ISERROR(IND_voed_ele_kWh/1000),0,IND_voed_ele_kWh/1000)</f>
        <v>392.96853738999999</v>
      </c>
      <c r="C32" s="39">
        <f>IF(ISERROR(B32*3.6/1000000/'E Balans VL '!Z20*100),0,B32*3.6/1000000/'E Balans VL '!Z20*100)</f>
        <v>6.5649840304209825E-2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1784.1459886</v>
      </c>
      <c r="C34" s="39">
        <f>IF(ISERROR(B34*3.6/1000000/'E Balans VL '!Z22*100),0,B34*3.6/1000000/'E Balans VL '!Z22*100)</f>
        <v>0.22615012592594866</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21514.582141999999</v>
      </c>
      <c r="C37" s="39">
        <f>IF(ISERROR(B37*3.6/1000000/'E Balans VL '!Z15*100),0,B37*3.6/1000000/'E Balans VL '!Z15*100)</f>
        <v>0.17369555246040444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4599.0303084400002</v>
      </c>
      <c r="C5" s="17">
        <f>'Eigen informatie GS &amp; warmtenet'!B60</f>
        <v>0</v>
      </c>
      <c r="D5" s="30">
        <f>IF(ISERROR(SUM(LB_lb_gas_kWh,LB_rest_gas_kWh,onbekend_gas_kWh)/1000),0,SUM(LB_lb_gas_kWh,LB_rest_gas_kWh,onbekend_gas_kWh)/1000)*0.902</f>
        <v>13188.868313491201</v>
      </c>
      <c r="E5" s="17">
        <f>B17*'E Balans VL '!I25/3.6*1000000/100</f>
        <v>118.59133341983573</v>
      </c>
      <c r="F5" s="17">
        <f>B17*('E Balans VL '!L25/3.6*1000000+'E Balans VL '!N25/3.6*1000000)/100</f>
        <v>16810.331620124507</v>
      </c>
      <c r="G5" s="18"/>
      <c r="H5" s="17"/>
      <c r="I5" s="17"/>
      <c r="J5" s="17">
        <f>('E Balans VL '!D25+'E Balans VL '!E25)/3.6*1000000*landbouw!B17/100</f>
        <v>662.09118146453022</v>
      </c>
      <c r="K5" s="17"/>
      <c r="L5" s="17">
        <f>L6*(-1)</f>
        <v>0</v>
      </c>
      <c r="M5" s="17"/>
      <c r="N5" s="17">
        <f>N6*(-1)</f>
        <v>249.42857142857139</v>
      </c>
      <c r="O5" s="17"/>
      <c r="P5" s="17"/>
      <c r="R5" s="32"/>
    </row>
    <row r="6" spans="1:18">
      <c r="A6" s="16" t="s">
        <v>491</v>
      </c>
      <c r="B6" s="17" t="s">
        <v>211</v>
      </c>
      <c r="C6" s="17">
        <f>'lokale energieproductie'!O91+'lokale energieproductie'!O60</f>
        <v>7639.7142857142862</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4599.0303084400002</v>
      </c>
      <c r="C8" s="21">
        <f>C5+C6</f>
        <v>7639.7142857142862</v>
      </c>
      <c r="D8" s="21">
        <f>MAX((D5+D6),0)</f>
        <v>0</v>
      </c>
      <c r="E8" s="21">
        <f>MAX((E5+E6),0)</f>
        <v>118.59133341983573</v>
      </c>
      <c r="F8" s="21">
        <f>MAX((F5+F6),0)</f>
        <v>16810.331620124507</v>
      </c>
      <c r="G8" s="21"/>
      <c r="H8" s="21"/>
      <c r="I8" s="21"/>
      <c r="J8" s="21">
        <f>MAX((J5+J6),0)</f>
        <v>662.09118146453022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0.15835165973658136</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728.2640825203157</v>
      </c>
      <c r="C12" s="23">
        <f ca="1">C8*C10</f>
        <v>1785.9176470588238</v>
      </c>
      <c r="D12" s="23">
        <f>D8*D10</f>
        <v>0</v>
      </c>
      <c r="E12" s="23">
        <f>E8*E10</f>
        <v>26.920232686302711</v>
      </c>
      <c r="F12" s="23">
        <f>F8*F10</f>
        <v>4488.3585425732435</v>
      </c>
      <c r="G12" s="23"/>
      <c r="H12" s="23"/>
      <c r="I12" s="23"/>
      <c r="J12" s="23">
        <f>J8*J10</f>
        <v>234.38027823844368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0.64849373678372868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1192.163569602418</v>
      </c>
      <c r="C26" s="247">
        <f>B26*'GWP N2O_CH4'!B5</f>
        <v>25035.434961650779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464.39119223496488</v>
      </c>
      <c r="C27" s="247">
        <f>B27*'GWP N2O_CH4'!B5</f>
        <v>9752.2150369342617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20.258683023105263</v>
      </c>
      <c r="C28" s="247">
        <f>B28*'GWP N2O_CH4'!B4</f>
        <v>6280.1917371626314</v>
      </c>
      <c r="D28" s="50"/>
    </row>
    <row r="29" spans="1:4">
      <c r="A29" s="41" t="s">
        <v>277</v>
      </c>
      <c r="B29" s="247">
        <f>B34*'ha_N2O bodem landbouw'!B4</f>
        <v>29.459197519355712</v>
      </c>
      <c r="C29" s="247">
        <f>B29*'GWP N2O_CH4'!B4</f>
        <v>9132.3512310002698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6.6299203012162673E-3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2.7670302000074363E-4</v>
      </c>
      <c r="C5" s="463" t="s">
        <v>211</v>
      </c>
      <c r="D5" s="448">
        <f>SUM(D6:D11)</f>
        <v>5.8658965220208118E-4</v>
      </c>
      <c r="E5" s="448">
        <f>SUM(E6:E11)</f>
        <v>2.6208515812202217E-3</v>
      </c>
      <c r="F5" s="461" t="s">
        <v>211</v>
      </c>
      <c r="G5" s="448">
        <f>SUM(G6:G11)</f>
        <v>1.1573873840419213</v>
      </c>
      <c r="H5" s="448">
        <f>SUM(H6:H11)</f>
        <v>0.16242648871203497</v>
      </c>
      <c r="I5" s="463" t="s">
        <v>211</v>
      </c>
      <c r="J5" s="463" t="s">
        <v>211</v>
      </c>
      <c r="K5" s="463" t="s">
        <v>211</v>
      </c>
      <c r="L5" s="463" t="s">
        <v>211</v>
      </c>
      <c r="M5" s="448">
        <f>SUM(M6:M11)</f>
        <v>4.1327985886425299E-2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1.0015256347028001E-4</v>
      </c>
      <c r="C6" s="449"/>
      <c r="D6" s="962">
        <f>vkm_2011_GW_PW*SUMIFS(TableVerdeelsleutelVkm[CNG],TableVerdeelsleutelVkm[Voertuigtype],"Lichte voertuigen")*SUMIFS(TableECFTransport[EnergieConsumptieFactor (PJ per km)],TableECFTransport[Index],CONCATENATE($A6,"_CNG_CNG"))</f>
        <v>1.9900489794127583E-4</v>
      </c>
      <c r="E6" s="962">
        <f>vkm_2011_GW_PW*SUMIFS(TableVerdeelsleutelVkm[LPG],TableVerdeelsleutelVkm[Voertuigtype],"Lichte voertuigen")*SUMIFS(TableECFTransport[EnergieConsumptieFactor (PJ per km)],TableECFTransport[Index],CONCATENATE($A6,"_LPG_LPG"))</f>
        <v>7.83155611307024E-4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0.1862075327328557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5.3876612802699508E-2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7.481243671829345E-3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9.4027480722793128E-2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3.0374892516991809E-5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2.9626620483774254E-3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1.414495132528382E-5</v>
      </c>
      <c r="C8" s="449"/>
      <c r="D8" s="451">
        <f>vkm_2011_NGW_PW*SUMIFS(TableVerdeelsleutelVkm[CNG],TableVerdeelsleutelVkm[Voertuigtype],"Lichte voertuigen")*SUMIFS(TableECFTransport[EnergieConsumptieFactor (PJ per km)],TableECFTransport[Index],CONCATENATE($A8,"_CNG_CNG"))</f>
        <v>4.9765944288023373E-5</v>
      </c>
      <c r="E8" s="451">
        <f>vkm_2011_NGW_PW*SUMIFS(TableVerdeelsleutelVkm[LPG],TableVerdeelsleutelVkm[Voertuigtype],"Lichte voertuigen")*SUMIFS(TableECFTransport[EnergieConsumptieFactor (PJ per km)],TableECFTransport[Index],CONCATENATE($A8,"_LPG_LPG"))</f>
        <v>1.8112371900072224E-4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4.0214557191274154E-2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1.3064289114805252E-2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1.6585496955668477E-3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3.741360223923683E-3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1.1430172717961838E-6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1.1788256847789347E-4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1.6240550520517979E-4</v>
      </c>
      <c r="C10" s="449"/>
      <c r="D10" s="451">
        <f>vkm_2011_SW_PW*SUMIFS(TableVerdeelsleutelVkm[CNG],TableVerdeelsleutelVkm[Voertuigtype],"Lichte voertuigen")*SUMIFS(TableECFTransport[EnergieConsumptieFactor (PJ per km)],TableECFTransport[Index],CONCATENATE($A10,"_CNG_CNG"))</f>
        <v>3.3781880997278203E-4</v>
      </c>
      <c r="E10" s="451">
        <f>vkm_2011_SW_PW*SUMIFS(TableVerdeelsleutelVkm[LPG],TableVerdeelsleutelVkm[Voertuigtype],"Lichte voertuigen")*SUMIFS(TableECFTransport[EnergieConsumptieFactor (PJ per km)],TableECFTransport[Index],CONCATENATE($A10,"_LPG_LPG"))</f>
        <v>1.6565722509124755E-3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0.3528308693050729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9.528687356498701E-2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1.3971702930301337E-2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0.48036558386600159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1.6719531975441075E-4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1.5135944971872451E-2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76.861950000206562</v>
      </c>
      <c r="C14" s="21"/>
      <c r="D14" s="21">
        <f t="shared" ref="D14:M14" si="0">((D5)*10^9/3600)+D12</f>
        <v>162.94157005613366</v>
      </c>
      <c r="E14" s="21">
        <f t="shared" si="0"/>
        <v>728.01432811672828</v>
      </c>
      <c r="F14" s="21"/>
      <c r="G14" s="21">
        <f t="shared" si="0"/>
        <v>321496.49556720036</v>
      </c>
      <c r="H14" s="21">
        <f t="shared" si="0"/>
        <v>45118.469086676378</v>
      </c>
      <c r="I14" s="21"/>
      <c r="J14" s="21"/>
      <c r="K14" s="21"/>
      <c r="L14" s="21"/>
      <c r="M14" s="21">
        <f t="shared" si="0"/>
        <v>11479.996079562583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0.15835165973658136</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12.171217353122838</v>
      </c>
      <c r="C18" s="23"/>
      <c r="D18" s="23">
        <f t="shared" ref="D18:M18" si="1">D14*D16</f>
        <v>32.914197151339003</v>
      </c>
      <c r="E18" s="23">
        <f t="shared" si="1"/>
        <v>165.25925248249732</v>
      </c>
      <c r="F18" s="23"/>
      <c r="G18" s="23">
        <f t="shared" si="1"/>
        <v>85839.564316442498</v>
      </c>
      <c r="H18" s="23">
        <f t="shared" si="1"/>
        <v>11234.498802582419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1.2312555187908513E-2</v>
      </c>
      <c r="H50" s="321">
        <f t="shared" si="2"/>
        <v>0</v>
      </c>
      <c r="I50" s="321">
        <f t="shared" si="2"/>
        <v>0</v>
      </c>
      <c r="J50" s="321">
        <f t="shared" si="2"/>
        <v>0</v>
      </c>
      <c r="K50" s="321">
        <f t="shared" si="2"/>
        <v>0</v>
      </c>
      <c r="L50" s="321">
        <f t="shared" si="2"/>
        <v>0</v>
      </c>
      <c r="M50" s="321">
        <f t="shared" si="2"/>
        <v>3.8190791650099653E-4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1.2312555187908513E-2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3.8190791650099653E-4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3420.1542188634758</v>
      </c>
      <c r="H54" s="21">
        <f t="shared" si="3"/>
        <v>0</v>
      </c>
      <c r="I54" s="21">
        <f t="shared" si="3"/>
        <v>0</v>
      </c>
      <c r="J54" s="21">
        <f t="shared" si="3"/>
        <v>0</v>
      </c>
      <c r="K54" s="21">
        <f t="shared" si="3"/>
        <v>0</v>
      </c>
      <c r="L54" s="21">
        <f t="shared" si="3"/>
        <v>0</v>
      </c>
      <c r="M54" s="21">
        <f t="shared" si="3"/>
        <v>106.08553236138792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0.15835165973658136</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913.18117643654807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5"/>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10582.44105047903</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11672.138538611511</v>
      </c>
      <c r="C6" s="1203"/>
      <c r="D6" s="1188"/>
      <c r="E6" s="1188"/>
      <c r="F6" s="1206"/>
      <c r="G6" s="1209"/>
      <c r="H6" s="1200"/>
      <c r="I6" s="1188"/>
      <c r="J6" s="1188"/>
      <c r="K6" s="1188"/>
      <c r="L6" s="1192"/>
      <c r="M6" s="575"/>
      <c r="N6" s="1166"/>
      <c r="O6" s="1167"/>
      <c r="Q6" s="573"/>
      <c r="R6" s="1154"/>
      <c r="S6" s="1154"/>
    </row>
    <row r="7" spans="1:19" s="563" customFormat="1">
      <c r="A7" s="576" t="s">
        <v>252</v>
      </c>
      <c r="B7" s="577">
        <f>N57</f>
        <v>5347.7999999999993</v>
      </c>
      <c r="C7" s="578">
        <f>B100</f>
        <v>6188.823529411764</v>
      </c>
      <c r="D7" s="579"/>
      <c r="E7" s="579">
        <f>E100</f>
        <v>0</v>
      </c>
      <c r="F7" s="580"/>
      <c r="G7" s="581"/>
      <c r="H7" s="579">
        <f>I100</f>
        <v>0</v>
      </c>
      <c r="I7" s="579">
        <f>G100+F100</f>
        <v>0</v>
      </c>
      <c r="J7" s="579">
        <f>H100+D100+C100</f>
        <v>102.70588235294115</v>
      </c>
      <c r="K7" s="579"/>
      <c r="L7" s="582"/>
      <c r="M7" s="583">
        <f>C7*$C$11+D7*$D$11+E7*$E$11+F7*$F$11+G7*$G$11+H7*$H$11+I7*$I$11+J7*$J$11</f>
        <v>1250.1423529411763</v>
      </c>
      <c r="N7" s="1166"/>
      <c r="O7" s="1167"/>
      <c r="Q7" s="573"/>
      <c r="R7" s="1154"/>
      <c r="S7" s="1154"/>
    </row>
    <row r="8" spans="1:19" s="563" customFormat="1" ht="17.45" customHeight="1" thickBot="1">
      <c r="A8" s="584" t="s">
        <v>248</v>
      </c>
      <c r="B8" s="585">
        <f>N88+'Eigen informatie GS &amp; warmtenet'!B12</f>
        <v>16920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44522.379589090546</v>
      </c>
      <c r="C9" s="594">
        <f t="shared" ref="C9:L9" si="0">SUM(C7:C8)</f>
        <v>6188.823529411764</v>
      </c>
      <c r="D9" s="594">
        <f t="shared" si="0"/>
        <v>0</v>
      </c>
      <c r="E9" s="594">
        <f t="shared" si="0"/>
        <v>0</v>
      </c>
      <c r="F9" s="594">
        <f t="shared" si="0"/>
        <v>0</v>
      </c>
      <c r="G9" s="594">
        <f t="shared" si="0"/>
        <v>0</v>
      </c>
      <c r="H9" s="594">
        <f t="shared" si="0"/>
        <v>0</v>
      </c>
      <c r="I9" s="594">
        <f t="shared" si="0"/>
        <v>0</v>
      </c>
      <c r="J9" s="594">
        <f t="shared" si="0"/>
        <v>48445.563025210096</v>
      </c>
      <c r="K9" s="594">
        <f t="shared" si="0"/>
        <v>0</v>
      </c>
      <c r="L9" s="594">
        <f t="shared" si="0"/>
        <v>0</v>
      </c>
      <c r="M9" s="595">
        <f>SUM(M4:M8)</f>
        <v>1250.1423529411763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7639.7142857142862</v>
      </c>
      <c r="C16" s="610">
        <f>B101</f>
        <v>8841.176470588236</v>
      </c>
      <c r="D16" s="611"/>
      <c r="E16" s="611">
        <f>E101</f>
        <v>0</v>
      </c>
      <c r="F16" s="612"/>
      <c r="G16" s="613"/>
      <c r="H16" s="610">
        <f>I101</f>
        <v>0</v>
      </c>
      <c r="I16" s="611">
        <f>G101+F101</f>
        <v>0</v>
      </c>
      <c r="J16" s="611">
        <f>H101+D101+C101</f>
        <v>146.72268907563023</v>
      </c>
      <c r="K16" s="611"/>
      <c r="L16" s="614"/>
      <c r="M16" s="615">
        <f>C16*$C$21+E16*$E$21+H16*$H$21+I16*$I$21+J16*$J$21+D16*$D$21+F16*$F$21+G16*$G$21+K16*$K$21+L16*$L$21</f>
        <v>1785.9176470588238</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7639.7142857142862</v>
      </c>
      <c r="C19" s="593">
        <f>SUM(C16:C18)</f>
        <v>8841.176470588236</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1785.9176470588238</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11009</v>
      </c>
      <c r="C27" s="851">
        <v>2960</v>
      </c>
      <c r="D27" s="672" t="s">
        <v>818</v>
      </c>
      <c r="E27" s="671" t="s">
        <v>819</v>
      </c>
      <c r="F27" s="671" t="s">
        <v>820</v>
      </c>
      <c r="G27" s="671" t="s">
        <v>821</v>
      </c>
      <c r="H27" s="671" t="s">
        <v>822</v>
      </c>
      <c r="I27" s="671" t="s">
        <v>819</v>
      </c>
      <c r="J27" s="850">
        <v>39737</v>
      </c>
      <c r="K27" s="850">
        <v>39737</v>
      </c>
      <c r="L27" s="671" t="s">
        <v>823</v>
      </c>
      <c r="M27" s="671">
        <v>1169</v>
      </c>
      <c r="N27" s="671">
        <v>5260.5</v>
      </c>
      <c r="O27" s="671">
        <v>7515</v>
      </c>
      <c r="P27" s="671">
        <v>15030.000000000002</v>
      </c>
      <c r="Q27" s="671">
        <v>0</v>
      </c>
      <c r="R27" s="671">
        <v>0</v>
      </c>
      <c r="S27" s="671">
        <v>0</v>
      </c>
      <c r="T27" s="671">
        <v>0</v>
      </c>
      <c r="U27" s="671">
        <v>0</v>
      </c>
      <c r="V27" s="671">
        <v>0</v>
      </c>
      <c r="W27" s="671">
        <v>0</v>
      </c>
      <c r="X27" s="671">
        <v>10</v>
      </c>
      <c r="Y27" s="671" t="s">
        <v>112</v>
      </c>
      <c r="Z27" s="673" t="s">
        <v>112</v>
      </c>
    </row>
    <row r="28" spans="1:26" s="625" customFormat="1" ht="25.5">
      <c r="A28" s="624"/>
      <c r="B28" s="851">
        <v>11009</v>
      </c>
      <c r="C28" s="851">
        <v>2960</v>
      </c>
      <c r="D28" s="672" t="s">
        <v>824</v>
      </c>
      <c r="E28" s="671" t="s">
        <v>825</v>
      </c>
      <c r="F28" s="671" t="s">
        <v>826</v>
      </c>
      <c r="G28" s="671" t="s">
        <v>821</v>
      </c>
      <c r="H28" s="671" t="s">
        <v>822</v>
      </c>
      <c r="I28" s="671" t="s">
        <v>825</v>
      </c>
      <c r="J28" s="850">
        <v>41086</v>
      </c>
      <c r="K28" s="850">
        <v>41214</v>
      </c>
      <c r="L28" s="671" t="s">
        <v>823</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11009</v>
      </c>
      <c r="C29" s="851">
        <v>2960</v>
      </c>
      <c r="D29" s="672" t="s">
        <v>827</v>
      </c>
      <c r="E29" s="671" t="s">
        <v>828</v>
      </c>
      <c r="F29" s="671" t="s">
        <v>829</v>
      </c>
      <c r="G29" s="671" t="s">
        <v>821</v>
      </c>
      <c r="H29" s="671" t="s">
        <v>822</v>
      </c>
      <c r="I29" s="671" t="s">
        <v>830</v>
      </c>
      <c r="J29" s="850">
        <v>41086</v>
      </c>
      <c r="K29" s="850">
        <v>41244</v>
      </c>
      <c r="L29" s="671" t="s">
        <v>823</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1188.4000000000001</v>
      </c>
      <c r="N57" s="629">
        <f>SUM(N27:N56)</f>
        <v>5347.7999999999993</v>
      </c>
      <c r="O57" s="629">
        <f t="shared" ref="O57:W57" si="2">SUM(O27:O56)</f>
        <v>7639.7142857142862</v>
      </c>
      <c r="P57" s="629">
        <f t="shared" si="2"/>
        <v>15030.000000000002</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1188.4000000000001</v>
      </c>
      <c r="N60" s="634">
        <f t="shared" ref="N60:W60" si="4">SUMIF($Z$27:$Z$56,"landbouw",N27:N56)</f>
        <v>5347.7999999999993</v>
      </c>
      <c r="O60" s="634">
        <f t="shared" si="4"/>
        <v>7639.7142857142862</v>
      </c>
      <c r="P60" s="634">
        <f t="shared" si="4"/>
        <v>15030.000000000002</v>
      </c>
      <c r="Q60" s="634">
        <f t="shared" si="4"/>
        <v>249.42857142857139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11009</v>
      </c>
      <c r="C63" s="851">
        <v>2960</v>
      </c>
      <c r="D63" s="674" t="s">
        <v>831</v>
      </c>
      <c r="E63" s="674" t="s">
        <v>832</v>
      </c>
      <c r="F63" s="674" t="s">
        <v>833</v>
      </c>
      <c r="G63" s="674" t="s">
        <v>834</v>
      </c>
      <c r="H63" s="674" t="s">
        <v>835</v>
      </c>
      <c r="I63" s="674" t="s">
        <v>836</v>
      </c>
      <c r="J63" s="850">
        <v>40365</v>
      </c>
      <c r="K63" s="850">
        <v>40704</v>
      </c>
      <c r="L63" s="674" t="s">
        <v>837</v>
      </c>
      <c r="M63" s="674">
        <v>2353</v>
      </c>
      <c r="N63" s="674">
        <v>10588.500000000002</v>
      </c>
      <c r="O63" s="674">
        <v>0</v>
      </c>
      <c r="P63" s="674">
        <v>0</v>
      </c>
      <c r="Q63" s="674">
        <v>30252.857142857149</v>
      </c>
      <c r="R63" s="674">
        <v>0</v>
      </c>
      <c r="S63" s="674">
        <v>0</v>
      </c>
      <c r="T63" s="674">
        <v>0</v>
      </c>
      <c r="U63" s="674">
        <v>0</v>
      </c>
      <c r="V63" s="674">
        <v>0</v>
      </c>
      <c r="W63" s="674">
        <v>0</v>
      </c>
      <c r="X63" s="674">
        <v>1600</v>
      </c>
      <c r="Y63" s="674" t="s">
        <v>50</v>
      </c>
      <c r="Z63" s="675" t="s">
        <v>156</v>
      </c>
    </row>
    <row r="64" spans="1:26" s="640" customFormat="1" ht="63.75">
      <c r="A64" s="626"/>
      <c r="B64" s="851">
        <v>11009</v>
      </c>
      <c r="C64" s="851">
        <v>2960</v>
      </c>
      <c r="D64" s="674" t="s">
        <v>838</v>
      </c>
      <c r="E64" s="674" t="s">
        <v>839</v>
      </c>
      <c r="F64" s="674" t="s">
        <v>840</v>
      </c>
      <c r="G64" s="674" t="s">
        <v>841</v>
      </c>
      <c r="H64" s="674" t="s">
        <v>835</v>
      </c>
      <c r="I64" s="674" t="s">
        <v>842</v>
      </c>
      <c r="J64" s="850">
        <v>39943</v>
      </c>
      <c r="K64" s="850">
        <v>38200</v>
      </c>
      <c r="L64" s="674" t="s">
        <v>837</v>
      </c>
      <c r="M64" s="674">
        <v>1095</v>
      </c>
      <c r="N64" s="674">
        <v>4927.5</v>
      </c>
      <c r="O64" s="674">
        <v>0</v>
      </c>
      <c r="P64" s="674">
        <v>0</v>
      </c>
      <c r="Q64" s="674">
        <v>14078.571428571429</v>
      </c>
      <c r="R64" s="674">
        <v>0</v>
      </c>
      <c r="S64" s="674">
        <v>0</v>
      </c>
      <c r="T64" s="674">
        <v>0</v>
      </c>
      <c r="U64" s="674">
        <v>0</v>
      </c>
      <c r="V64" s="674">
        <v>0</v>
      </c>
      <c r="W64" s="674">
        <v>0</v>
      </c>
      <c r="X64" s="674">
        <v>1600</v>
      </c>
      <c r="Y64" s="674" t="s">
        <v>50</v>
      </c>
      <c r="Z64" s="675" t="s">
        <v>156</v>
      </c>
    </row>
    <row r="65" spans="1:26" s="640" customFormat="1" ht="63.75">
      <c r="A65" s="626"/>
      <c r="B65" s="851">
        <v>11009</v>
      </c>
      <c r="C65" s="851">
        <v>2960</v>
      </c>
      <c r="D65" s="674" t="s">
        <v>837</v>
      </c>
      <c r="E65" s="674" t="s">
        <v>843</v>
      </c>
      <c r="F65" s="674" t="s">
        <v>844</v>
      </c>
      <c r="G65" s="674" t="s">
        <v>845</v>
      </c>
      <c r="H65" s="674" t="s">
        <v>835</v>
      </c>
      <c r="I65" s="674" t="s">
        <v>846</v>
      </c>
      <c r="J65" s="850">
        <v>35323</v>
      </c>
      <c r="K65" s="850">
        <v>37653</v>
      </c>
      <c r="L65" s="674" t="s">
        <v>837</v>
      </c>
      <c r="M65" s="674">
        <v>312</v>
      </c>
      <c r="N65" s="674">
        <v>1404</v>
      </c>
      <c r="O65" s="674">
        <v>0</v>
      </c>
      <c r="P65" s="674">
        <v>0</v>
      </c>
      <c r="Q65" s="674">
        <v>0</v>
      </c>
      <c r="R65" s="674">
        <v>4011.4285714285716</v>
      </c>
      <c r="S65" s="674">
        <v>0</v>
      </c>
      <c r="T65" s="674">
        <v>0</v>
      </c>
      <c r="U65" s="674">
        <v>0</v>
      </c>
      <c r="V65" s="674">
        <v>0</v>
      </c>
      <c r="W65" s="674">
        <v>0</v>
      </c>
      <c r="X65" s="674">
        <v>1600</v>
      </c>
      <c r="Y65" s="674" t="s">
        <v>50</v>
      </c>
      <c r="Z65" s="675" t="s">
        <v>156</v>
      </c>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3760</v>
      </c>
      <c r="N88" s="629">
        <f t="shared" ref="N88:W88" si="5">SUM(N63:N87)</f>
        <v>16920</v>
      </c>
      <c r="O88" s="629">
        <f t="shared" si="5"/>
        <v>0</v>
      </c>
      <c r="P88" s="629">
        <f t="shared" si="5"/>
        <v>0</v>
      </c>
      <c r="Q88" s="629">
        <f t="shared" si="5"/>
        <v>44331.42857142858</v>
      </c>
      <c r="R88" s="629">
        <f t="shared" si="5"/>
        <v>4011.4285714285716</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3760</v>
      </c>
      <c r="N90" s="629">
        <f t="shared" ref="N90:W90" si="7">SUMIF($Z$63:$Z$88,"tertiair",N63:N88)</f>
        <v>16920</v>
      </c>
      <c r="O90" s="629">
        <f t="shared" si="7"/>
        <v>0</v>
      </c>
      <c r="P90" s="629">
        <f t="shared" si="7"/>
        <v>0</v>
      </c>
      <c r="Q90" s="629">
        <f t="shared" si="7"/>
        <v>44331.42857142858</v>
      </c>
      <c r="R90" s="629">
        <f t="shared" si="7"/>
        <v>4011.4285714285716</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6188.823529411764</v>
      </c>
      <c r="C100" s="663">
        <f t="shared" si="9"/>
        <v>102.70588235294115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8841.176470588236</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44477.943861095002</v>
      </c>
      <c r="D10" s="718">
        <f ca="1">tertiair!C16</f>
        <v>0</v>
      </c>
      <c r="E10" s="718">
        <f ca="1">tertiair!D16</f>
        <v>30654.416391145362</v>
      </c>
      <c r="F10" s="718">
        <f>tertiair!E16</f>
        <v>534.43259867503502</v>
      </c>
      <c r="G10" s="718">
        <f ca="1">tertiair!F16</f>
        <v>6716.1478465153941</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14.070000000000002</v>
      </c>
      <c r="Q10" s="719">
        <f>tertiair!P16</f>
        <v>57.2</v>
      </c>
      <c r="R10" s="721">
        <f ca="1">SUM(C10:Q10)</f>
        <v>82454.210697430797</v>
      </c>
      <c r="S10" s="67"/>
    </row>
    <row r="11" spans="1:19" s="474" customFormat="1">
      <c r="A11" s="870" t="s">
        <v>225</v>
      </c>
      <c r="B11" s="875"/>
      <c r="C11" s="718">
        <f>huishoudens!B8</f>
        <v>60060.943226840995</v>
      </c>
      <c r="D11" s="718">
        <f>huishoudens!C8</f>
        <v>0</v>
      </c>
      <c r="E11" s="718">
        <f>huishoudens!D8</f>
        <v>122026.62776744</v>
      </c>
      <c r="F11" s="718">
        <f>huishoudens!E8</f>
        <v>7779.3506940368407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30276.783581201733</v>
      </c>
      <c r="P11" s="718">
        <f>huishoudens!O8</f>
        <v>406.4666666666667</v>
      </c>
      <c r="Q11" s="719">
        <f>huishoudens!P8</f>
        <v>2097.3333333333335</v>
      </c>
      <c r="R11" s="721">
        <f>SUM(C11:Q11)</f>
        <v>222647.50526951961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27888.669845290002</v>
      </c>
      <c r="D13" s="718">
        <f>industrie!C18</f>
        <v>0</v>
      </c>
      <c r="E13" s="718">
        <f>industrie!D18</f>
        <v>21394.025646690621</v>
      </c>
      <c r="F13" s="718">
        <f>industrie!E18</f>
        <v>1961.0436832727819</v>
      </c>
      <c r="G13" s="718">
        <f>industrie!F18</f>
        <v>8052.4963328642207</v>
      </c>
      <c r="H13" s="718">
        <f>industrie!G18</f>
        <v>0</v>
      </c>
      <c r="I13" s="718">
        <f>industrie!H18</f>
        <v>0</v>
      </c>
      <c r="J13" s="718">
        <f>industrie!I18</f>
        <v>0</v>
      </c>
      <c r="K13" s="718">
        <f>industrie!J18</f>
        <v>176.49990003197533</v>
      </c>
      <c r="L13" s="718">
        <f>industrie!K18</f>
        <v>0</v>
      </c>
      <c r="M13" s="718">
        <f>industrie!L18</f>
        <v>0</v>
      </c>
      <c r="N13" s="718">
        <f>industrie!M18</f>
        <v>0</v>
      </c>
      <c r="O13" s="718">
        <f>industrie!N18</f>
        <v>5402.2909201318198</v>
      </c>
      <c r="P13" s="718">
        <f>industrie!O18</f>
        <v>0</v>
      </c>
      <c r="Q13" s="719">
        <f>industrie!P18</f>
        <v>0</v>
      </c>
      <c r="R13" s="721">
        <f>SUM(C13:Q13)</f>
        <v>64875.026328281412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132427.55693322601</v>
      </c>
      <c r="D15" s="723">
        <f t="shared" ref="D15:Q15" ca="1" si="0">SUM(D9:D14)</f>
        <v>0</v>
      </c>
      <c r="E15" s="723">
        <f t="shared" ca="1" si="0"/>
        <v>174075.069805276</v>
      </c>
      <c r="F15" s="723">
        <f t="shared" si="0"/>
        <v>10274.826975984659</v>
      </c>
      <c r="G15" s="723">
        <f t="shared" ca="1" si="0"/>
        <v>14768.644179379615</v>
      </c>
      <c r="H15" s="723">
        <f t="shared" si="0"/>
        <v>0</v>
      </c>
      <c r="I15" s="723">
        <f t="shared" si="0"/>
        <v>0</v>
      </c>
      <c r="J15" s="723">
        <f t="shared" si="0"/>
        <v>0</v>
      </c>
      <c r="K15" s="723">
        <f t="shared" si="0"/>
        <v>176.49990003197533</v>
      </c>
      <c r="L15" s="723">
        <f t="shared" si="0"/>
        <v>0</v>
      </c>
      <c r="M15" s="723">
        <f t="shared" ca="1" si="0"/>
        <v>0</v>
      </c>
      <c r="N15" s="723">
        <f t="shared" si="0"/>
        <v>0</v>
      </c>
      <c r="O15" s="723">
        <f t="shared" ca="1" si="0"/>
        <v>35679.074501333555</v>
      </c>
      <c r="P15" s="723">
        <f t="shared" si="0"/>
        <v>420.53666666666669</v>
      </c>
      <c r="Q15" s="724">
        <f t="shared" si="0"/>
        <v>2154.5333333333333</v>
      </c>
      <c r="R15" s="725">
        <f ca="1">SUM(R9:R14)</f>
        <v>369976.74229523179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3420.1542188634758</v>
      </c>
      <c r="I18" s="718">
        <f>transport!H54</f>
        <v>0</v>
      </c>
      <c r="J18" s="718">
        <f>transport!I54</f>
        <v>0</v>
      </c>
      <c r="K18" s="718">
        <f>transport!J54</f>
        <v>0</v>
      </c>
      <c r="L18" s="718">
        <f>transport!K54</f>
        <v>0</v>
      </c>
      <c r="M18" s="718">
        <f>transport!L54</f>
        <v>0</v>
      </c>
      <c r="N18" s="718">
        <f>transport!M54</f>
        <v>106.08553236138792</v>
      </c>
      <c r="O18" s="718">
        <f>transport!N54</f>
        <v>0</v>
      </c>
      <c r="P18" s="718">
        <f>transport!O54</f>
        <v>0</v>
      </c>
      <c r="Q18" s="719">
        <f>transport!P54</f>
        <v>0</v>
      </c>
      <c r="R18" s="721">
        <f>SUM(C18:Q18)</f>
        <v>3526.2397512248635</v>
      </c>
      <c r="S18" s="67"/>
    </row>
    <row r="19" spans="1:19" s="474" customFormat="1" ht="15" thickBot="1">
      <c r="A19" s="870" t="s">
        <v>307</v>
      </c>
      <c r="B19" s="875"/>
      <c r="C19" s="727">
        <f>transport!B14</f>
        <v>76.861950000206562</v>
      </c>
      <c r="D19" s="727">
        <f>transport!C14</f>
        <v>0</v>
      </c>
      <c r="E19" s="727">
        <f>transport!D14</f>
        <v>162.94157005613366</v>
      </c>
      <c r="F19" s="727">
        <f>transport!E14</f>
        <v>728.01432811672828</v>
      </c>
      <c r="G19" s="727">
        <f>transport!F14</f>
        <v>0</v>
      </c>
      <c r="H19" s="727">
        <f>transport!G14</f>
        <v>321496.49556720036</v>
      </c>
      <c r="I19" s="727">
        <f>transport!H14</f>
        <v>45118.469086676378</v>
      </c>
      <c r="J19" s="727">
        <f>transport!I14</f>
        <v>0</v>
      </c>
      <c r="K19" s="727">
        <f>transport!J14</f>
        <v>0</v>
      </c>
      <c r="L19" s="727">
        <f>transport!K14</f>
        <v>0</v>
      </c>
      <c r="M19" s="727">
        <f>transport!L14</f>
        <v>0</v>
      </c>
      <c r="N19" s="727">
        <f>transport!M14</f>
        <v>11479.996079562583</v>
      </c>
      <c r="O19" s="727">
        <f>transport!N14</f>
        <v>0</v>
      </c>
      <c r="P19" s="727">
        <f>transport!O14</f>
        <v>0</v>
      </c>
      <c r="Q19" s="728">
        <f>transport!P14</f>
        <v>0</v>
      </c>
      <c r="R19" s="729">
        <f>SUM(C19:Q19)</f>
        <v>379062.77858161239</v>
      </c>
      <c r="S19" s="67"/>
    </row>
    <row r="20" spans="1:19" s="474" customFormat="1" ht="15.75" thickBot="1">
      <c r="A20" s="730" t="s">
        <v>230</v>
      </c>
      <c r="B20" s="878"/>
      <c r="C20" s="873">
        <f>SUM(C17:C19)</f>
        <v>76.861950000206562</v>
      </c>
      <c r="D20" s="731">
        <f t="shared" ref="D20:R20" si="1">SUM(D17:D19)</f>
        <v>0</v>
      </c>
      <c r="E20" s="731">
        <f t="shared" si="1"/>
        <v>162.94157005613366</v>
      </c>
      <c r="F20" s="731">
        <f t="shared" si="1"/>
        <v>728.01432811672828</v>
      </c>
      <c r="G20" s="731">
        <f t="shared" si="1"/>
        <v>0</v>
      </c>
      <c r="H20" s="731">
        <f t="shared" si="1"/>
        <v>324916.64978606382</v>
      </c>
      <c r="I20" s="731">
        <f t="shared" si="1"/>
        <v>45118.469086676378</v>
      </c>
      <c r="J20" s="731">
        <f t="shared" si="1"/>
        <v>0</v>
      </c>
      <c r="K20" s="731">
        <f t="shared" si="1"/>
        <v>0</v>
      </c>
      <c r="L20" s="731">
        <f t="shared" si="1"/>
        <v>0</v>
      </c>
      <c r="M20" s="731">
        <f t="shared" si="1"/>
        <v>0</v>
      </c>
      <c r="N20" s="731">
        <f t="shared" si="1"/>
        <v>11586.081611923972</v>
      </c>
      <c r="O20" s="731">
        <f t="shared" si="1"/>
        <v>0</v>
      </c>
      <c r="P20" s="731">
        <f t="shared" si="1"/>
        <v>0</v>
      </c>
      <c r="Q20" s="732">
        <f t="shared" si="1"/>
        <v>0</v>
      </c>
      <c r="R20" s="733">
        <f t="shared" si="1"/>
        <v>382589.01833283727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4599.0303084400002</v>
      </c>
      <c r="D22" s="727">
        <f>+landbouw!C8</f>
        <v>7639.7142857142862</v>
      </c>
      <c r="E22" s="727">
        <f>+landbouw!D8</f>
        <v>0</v>
      </c>
      <c r="F22" s="727">
        <f>+landbouw!E8</f>
        <v>118.59133341983573</v>
      </c>
      <c r="G22" s="727">
        <f>+landbouw!F8</f>
        <v>16810.331620124507</v>
      </c>
      <c r="H22" s="727">
        <f>+landbouw!G8</f>
        <v>0</v>
      </c>
      <c r="I22" s="727">
        <f>+landbouw!H8</f>
        <v>0</v>
      </c>
      <c r="J22" s="727">
        <f>+landbouw!I8</f>
        <v>0</v>
      </c>
      <c r="K22" s="727">
        <f>+landbouw!J8</f>
        <v>662.09118146453022</v>
      </c>
      <c r="L22" s="727">
        <f>+landbouw!K8</f>
        <v>0</v>
      </c>
      <c r="M22" s="727">
        <f>+landbouw!L8</f>
        <v>0</v>
      </c>
      <c r="N22" s="727">
        <f>+landbouw!M8</f>
        <v>0</v>
      </c>
      <c r="O22" s="727">
        <f>+landbouw!N8</f>
        <v>0</v>
      </c>
      <c r="P22" s="727">
        <f>+landbouw!O8</f>
        <v>0</v>
      </c>
      <c r="Q22" s="728">
        <f>+landbouw!P8</f>
        <v>0</v>
      </c>
      <c r="R22" s="729">
        <f>SUM(C22:Q22)</f>
        <v>29829.758729163157</v>
      </c>
      <c r="S22" s="67"/>
    </row>
    <row r="23" spans="1:19" s="474" customFormat="1" ht="17.25" thickTop="1" thickBot="1">
      <c r="A23" s="734" t="s">
        <v>116</v>
      </c>
      <c r="B23" s="864"/>
      <c r="C23" s="735">
        <f ca="1">C20+C15+C22</f>
        <v>137103.44919166621</v>
      </c>
      <c r="D23" s="735">
        <f t="shared" ref="D23:Q23" ca="1" si="2">D20+D15+D22</f>
        <v>7639.7142857142862</v>
      </c>
      <c r="E23" s="735">
        <f t="shared" ca="1" si="2"/>
        <v>174238.01137533213</v>
      </c>
      <c r="F23" s="735">
        <f t="shared" si="2"/>
        <v>11121.432637521222</v>
      </c>
      <c r="G23" s="735">
        <f t="shared" ca="1" si="2"/>
        <v>31578.975799504122</v>
      </c>
      <c r="H23" s="735">
        <f t="shared" si="2"/>
        <v>324916.64978606382</v>
      </c>
      <c r="I23" s="735">
        <f t="shared" si="2"/>
        <v>45118.469086676378</v>
      </c>
      <c r="J23" s="735">
        <f t="shared" si="2"/>
        <v>0</v>
      </c>
      <c r="K23" s="735">
        <f t="shared" si="2"/>
        <v>838.59108149650558</v>
      </c>
      <c r="L23" s="735">
        <f t="shared" si="2"/>
        <v>0</v>
      </c>
      <c r="M23" s="735">
        <f t="shared" ca="1" si="2"/>
        <v>0</v>
      </c>
      <c r="N23" s="735">
        <f t="shared" si="2"/>
        <v>11586.081611923972</v>
      </c>
      <c r="O23" s="735">
        <f t="shared" ca="1" si="2"/>
        <v>35679.074501333555</v>
      </c>
      <c r="P23" s="735">
        <f t="shared" si="2"/>
        <v>420.53666666666669</v>
      </c>
      <c r="Q23" s="736">
        <f t="shared" si="2"/>
        <v>2154.5333333333333</v>
      </c>
      <c r="R23" s="737">
        <f ca="1">R20+R15+R22</f>
        <v>782395.51935723226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7043.1562320748835</v>
      </c>
      <c r="D36" s="718">
        <f ca="1">tertiair!C20</f>
        <v>0</v>
      </c>
      <c r="E36" s="718">
        <f ca="1">tertiair!D20</f>
        <v>6192.1921110113635</v>
      </c>
      <c r="F36" s="718">
        <f>tertiair!E20</f>
        <v>121.31619989923296</v>
      </c>
      <c r="G36" s="718">
        <f ca="1">tertiair!F20</f>
        <v>1793.2114750196104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15149.87601800509</v>
      </c>
    </row>
    <row r="37" spans="1:18">
      <c r="A37" s="885" t="s">
        <v>225</v>
      </c>
      <c r="B37" s="892"/>
      <c r="C37" s="718">
        <f ca="1">huishoudens!B12</f>
        <v>9510.750045314855</v>
      </c>
      <c r="D37" s="718">
        <f ca="1">huishoudens!C12</f>
        <v>0</v>
      </c>
      <c r="E37" s="718">
        <f>huishoudens!D12</f>
        <v>24649.378809022881</v>
      </c>
      <c r="F37" s="718">
        <f>huishoudens!E12</f>
        <v>1765.9126075463628</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35926.041461884102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4416.2171578472198</v>
      </c>
      <c r="D39" s="718">
        <f ca="1">industrie!C22</f>
        <v>0</v>
      </c>
      <c r="E39" s="718">
        <f>industrie!D22</f>
        <v>4321.5931806315057</v>
      </c>
      <c r="F39" s="718">
        <f>industrie!E22</f>
        <v>445.15691610292151</v>
      </c>
      <c r="G39" s="718">
        <f>industrie!F22</f>
        <v>2150.0165208747471</v>
      </c>
      <c r="H39" s="718">
        <f>industrie!G22</f>
        <v>0</v>
      </c>
      <c r="I39" s="718">
        <f>industrie!H22</f>
        <v>0</v>
      </c>
      <c r="J39" s="718">
        <f>industrie!I22</f>
        <v>0</v>
      </c>
      <c r="K39" s="718">
        <f>industrie!J22</f>
        <v>62.480964611319266</v>
      </c>
      <c r="L39" s="718">
        <f>industrie!K22</f>
        <v>0</v>
      </c>
      <c r="M39" s="718">
        <f>industrie!L22</f>
        <v>0</v>
      </c>
      <c r="N39" s="718">
        <f>industrie!M22</f>
        <v>0</v>
      </c>
      <c r="O39" s="718">
        <f>industrie!N22</f>
        <v>0</v>
      </c>
      <c r="P39" s="718">
        <f>industrie!O22</f>
        <v>0</v>
      </c>
      <c r="Q39" s="828">
        <f>industrie!P22</f>
        <v>0</v>
      </c>
      <c r="R39" s="918">
        <f ca="1">SUM(C39:Q39)</f>
        <v>11395.464740067713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20970.123435236957</v>
      </c>
      <c r="D41" s="763">
        <f t="shared" ref="D41:R41" ca="1" si="4">SUM(D35:D40)</f>
        <v>0</v>
      </c>
      <c r="E41" s="763">
        <f t="shared" ca="1" si="4"/>
        <v>35163.164100665752</v>
      </c>
      <c r="F41" s="763">
        <f t="shared" si="4"/>
        <v>2332.3857235485175</v>
      </c>
      <c r="G41" s="763">
        <f t="shared" ca="1" si="4"/>
        <v>3943.2279958943573</v>
      </c>
      <c r="H41" s="763">
        <f t="shared" si="4"/>
        <v>0</v>
      </c>
      <c r="I41" s="763">
        <f t="shared" si="4"/>
        <v>0</v>
      </c>
      <c r="J41" s="763">
        <f t="shared" si="4"/>
        <v>0</v>
      </c>
      <c r="K41" s="763">
        <f t="shared" si="4"/>
        <v>62.480964611319266</v>
      </c>
      <c r="L41" s="763">
        <f t="shared" si="4"/>
        <v>0</v>
      </c>
      <c r="M41" s="763">
        <f t="shared" ca="1" si="4"/>
        <v>0</v>
      </c>
      <c r="N41" s="763">
        <f t="shared" si="4"/>
        <v>0</v>
      </c>
      <c r="O41" s="763">
        <f t="shared" ca="1" si="4"/>
        <v>0</v>
      </c>
      <c r="P41" s="763">
        <f t="shared" si="4"/>
        <v>0</v>
      </c>
      <c r="Q41" s="764">
        <f t="shared" si="4"/>
        <v>0</v>
      </c>
      <c r="R41" s="765">
        <f t="shared" ca="1" si="4"/>
        <v>62471.382219956904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913.18117643654807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913.18117643654807</v>
      </c>
    </row>
    <row r="45" spans="1:18" ht="15" thickBot="1">
      <c r="A45" s="888" t="s">
        <v>307</v>
      </c>
      <c r="B45" s="898"/>
      <c r="C45" s="727">
        <f ca="1">transport!B18</f>
        <v>12.171217353122838</v>
      </c>
      <c r="D45" s="727">
        <f>transport!C18</f>
        <v>0</v>
      </c>
      <c r="E45" s="727">
        <f>transport!D18</f>
        <v>32.914197151339003</v>
      </c>
      <c r="F45" s="727">
        <f>transport!E18</f>
        <v>165.25925248249732</v>
      </c>
      <c r="G45" s="727">
        <f>transport!F18</f>
        <v>0</v>
      </c>
      <c r="H45" s="727">
        <f>transport!G18</f>
        <v>85839.564316442498</v>
      </c>
      <c r="I45" s="727">
        <f>transport!H18</f>
        <v>11234.498802582419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97284.40778601187</v>
      </c>
    </row>
    <row r="46" spans="1:18" ht="15.75" thickBot="1">
      <c r="A46" s="886" t="s">
        <v>230</v>
      </c>
      <c r="B46" s="899"/>
      <c r="C46" s="763">
        <f t="shared" ref="C46:R46" ca="1" si="5">SUM(C43:C45)</f>
        <v>12.171217353122838</v>
      </c>
      <c r="D46" s="763">
        <f t="shared" ca="1" si="5"/>
        <v>0</v>
      </c>
      <c r="E46" s="763">
        <f t="shared" si="5"/>
        <v>32.914197151339003</v>
      </c>
      <c r="F46" s="763">
        <f t="shared" si="5"/>
        <v>165.25925248249732</v>
      </c>
      <c r="G46" s="763">
        <f t="shared" si="5"/>
        <v>0</v>
      </c>
      <c r="H46" s="763">
        <f t="shared" si="5"/>
        <v>86752.745492879039</v>
      </c>
      <c r="I46" s="763">
        <f t="shared" si="5"/>
        <v>11234.498802582419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98197.588962448412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728.2640825203157</v>
      </c>
      <c r="D48" s="718">
        <f ca="1">+landbouw!C12</f>
        <v>1785.9176470588238</v>
      </c>
      <c r="E48" s="718">
        <f>+landbouw!D12</f>
        <v>0</v>
      </c>
      <c r="F48" s="718">
        <f>+landbouw!E12</f>
        <v>26.920232686302711</v>
      </c>
      <c r="G48" s="718">
        <f>+landbouw!F12</f>
        <v>4488.3585425732435</v>
      </c>
      <c r="H48" s="718">
        <f>+landbouw!G12</f>
        <v>0</v>
      </c>
      <c r="I48" s="718">
        <f>+landbouw!H12</f>
        <v>0</v>
      </c>
      <c r="J48" s="718">
        <f>+landbouw!I12</f>
        <v>0</v>
      </c>
      <c r="K48" s="718">
        <f>+landbouw!J12</f>
        <v>234.38027823844368</v>
      </c>
      <c r="L48" s="718">
        <f>+landbouw!K12</f>
        <v>0</v>
      </c>
      <c r="M48" s="718">
        <f>+landbouw!L12</f>
        <v>0</v>
      </c>
      <c r="N48" s="718">
        <f>+landbouw!M12</f>
        <v>0</v>
      </c>
      <c r="O48" s="718">
        <f>+landbouw!N12</f>
        <v>0</v>
      </c>
      <c r="P48" s="718">
        <f>+landbouw!O12</f>
        <v>0</v>
      </c>
      <c r="Q48" s="719">
        <f>+landbouw!P12</f>
        <v>0</v>
      </c>
      <c r="R48" s="761">
        <f ca="1">SUM(C48:Q48)</f>
        <v>7263.8407830771293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21710.558735110397</v>
      </c>
      <c r="D53" s="773">
        <f t="shared" ref="D53:Q53" ca="1" si="6">D41+D46+D48</f>
        <v>1785.9176470588238</v>
      </c>
      <c r="E53" s="773">
        <f t="shared" ca="1" si="6"/>
        <v>35196.07829781709</v>
      </c>
      <c r="F53" s="773">
        <f t="shared" si="6"/>
        <v>2524.5652087173175</v>
      </c>
      <c r="G53" s="773">
        <f t="shared" ca="1" si="6"/>
        <v>8431.5865384675999</v>
      </c>
      <c r="H53" s="773">
        <f t="shared" si="6"/>
        <v>86752.745492879039</v>
      </c>
      <c r="I53" s="773">
        <f t="shared" si="6"/>
        <v>11234.498802582419</v>
      </c>
      <c r="J53" s="773">
        <f t="shared" si="6"/>
        <v>0</v>
      </c>
      <c r="K53" s="773">
        <f t="shared" si="6"/>
        <v>296.86124284976296</v>
      </c>
      <c r="L53" s="773">
        <f t="shared" si="6"/>
        <v>0</v>
      </c>
      <c r="M53" s="773">
        <f t="shared" ca="1" si="6"/>
        <v>0</v>
      </c>
      <c r="N53" s="773">
        <f t="shared" si="6"/>
        <v>0</v>
      </c>
      <c r="O53" s="773">
        <f t="shared" ca="1" si="6"/>
        <v>0</v>
      </c>
      <c r="P53" s="773">
        <f>P41+P46+P48</f>
        <v>0</v>
      </c>
      <c r="Q53" s="774">
        <f t="shared" si="6"/>
        <v>0</v>
      </c>
      <c r="R53" s="775">
        <f ca="1">R41+R46+R48</f>
        <v>167932.81196548243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0.15835165973658136</v>
      </c>
      <c r="D55" s="836">
        <f t="shared" ca="1" si="7"/>
        <v>0.2337675965707724</v>
      </c>
      <c r="E55" s="836">
        <f t="shared" ca="1" si="7"/>
        <v>0.20199999999999999</v>
      </c>
      <c r="F55" s="836">
        <f t="shared" si="7"/>
        <v>0.22700000000000001</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10582.44105047903</v>
      </c>
      <c r="C64" s="795">
        <f>'lokale energieproductie'!B4</f>
        <v>10582.44105047903</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11672.138538611511</v>
      </c>
      <c r="C66" s="795">
        <f>'lokale energieproductie'!B6</f>
        <v>11672.138538611511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5347.7999999999993</v>
      </c>
      <c r="C67" s="794">
        <f>B67*IFERROR(SUM(J67:L67)/SUM(D67:M67),0)</f>
        <v>87.299999999999969</v>
      </c>
      <c r="D67" s="826">
        <f>'lokale energieproductie'!C7</f>
        <v>6188.823529411764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1250.1423529411763</v>
      </c>
      <c r="P67" s="922">
        <v>0</v>
      </c>
      <c r="Q67" s="785"/>
      <c r="R67" s="742"/>
    </row>
    <row r="68" spans="1:18" ht="30.75" thickBot="1">
      <c r="A68" s="801" t="s">
        <v>353</v>
      </c>
      <c r="B68" s="794">
        <f>'lokale energieproductie'!B8</f>
        <v>16920</v>
      </c>
      <c r="C68" s="794">
        <f>B68*IFERROR(SUM(J68:L68)/SUM(D68:M68),0)</f>
        <v>16920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48342.857142857152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44522.379589090546</v>
      </c>
      <c r="C69" s="803">
        <f>SUM(C64:C68)</f>
        <v>39261.879589090546</v>
      </c>
      <c r="D69" s="804">
        <f t="shared" ref="D69:M69" si="8">SUM(D67:D68)</f>
        <v>6188.823529411764</v>
      </c>
      <c r="E69" s="804">
        <f t="shared" si="8"/>
        <v>0</v>
      </c>
      <c r="F69" s="804">
        <f t="shared" si="8"/>
        <v>0</v>
      </c>
      <c r="G69" s="804">
        <f t="shared" si="8"/>
        <v>0</v>
      </c>
      <c r="H69" s="804">
        <f t="shared" si="8"/>
        <v>0</v>
      </c>
      <c r="I69" s="804">
        <f t="shared" si="8"/>
        <v>0</v>
      </c>
      <c r="J69" s="804">
        <f t="shared" si="8"/>
        <v>0</v>
      </c>
      <c r="K69" s="804">
        <f t="shared" si="8"/>
        <v>48445.563025210096</v>
      </c>
      <c r="L69" s="804">
        <f t="shared" si="8"/>
        <v>0</v>
      </c>
      <c r="M69" s="930">
        <f t="shared" si="8"/>
        <v>0</v>
      </c>
      <c r="N69" s="805">
        <v>0</v>
      </c>
      <c r="O69" s="805">
        <f>SUM(O67:O68)</f>
        <v>1250.1423529411763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7639.7142857142862</v>
      </c>
      <c r="C78" s="817">
        <f>B78*IFERROR(SUM(I78:L78)/SUM(D78:M78),0)</f>
        <v>124.71428571428569</v>
      </c>
      <c r="D78" s="832">
        <f>'lokale energieproductie'!C16</f>
        <v>8841.176470588236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1785.9176470588238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7639.7142857142862</v>
      </c>
      <c r="C81" s="803">
        <f>SUM(C78:C80)</f>
        <v>124.71428571428569</v>
      </c>
      <c r="D81" s="803">
        <f t="shared" ref="D81:P81" si="9">SUM(D78:D80)</f>
        <v>8841.176470588236</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1785.9176470588238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60060.943226840995</v>
      </c>
      <c r="C4" s="478">
        <f>huishoudens!C8</f>
        <v>0</v>
      </c>
      <c r="D4" s="478">
        <f>huishoudens!D8</f>
        <v>122026.62776744</v>
      </c>
      <c r="E4" s="478">
        <f>huishoudens!E8</f>
        <v>7779.3506940368407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30276.783581201733</v>
      </c>
      <c r="O4" s="478">
        <f>huishoudens!O8</f>
        <v>406.4666666666667</v>
      </c>
      <c r="P4" s="479">
        <f>huishoudens!P8</f>
        <v>2097.3333333333335</v>
      </c>
      <c r="Q4" s="480">
        <f>SUM(B4:P4)</f>
        <v>222647.50526951961</v>
      </c>
    </row>
    <row r="5" spans="1:17">
      <c r="A5" s="477" t="s">
        <v>156</v>
      </c>
      <c r="B5" s="478">
        <f ca="1">tertiair!B16</f>
        <v>42943.697861095003</v>
      </c>
      <c r="C5" s="478">
        <f ca="1">tertiair!C16</f>
        <v>0</v>
      </c>
      <c r="D5" s="478">
        <f ca="1">tertiair!D16</f>
        <v>30654.416391145362</v>
      </c>
      <c r="E5" s="478">
        <f>tertiair!E16</f>
        <v>534.43259867503502</v>
      </c>
      <c r="F5" s="478">
        <f ca="1">tertiair!F16</f>
        <v>6716.1478465153941</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14.070000000000002</v>
      </c>
      <c r="P5" s="479">
        <f>tertiair!P16</f>
        <v>57.2</v>
      </c>
      <c r="Q5" s="477">
        <f t="shared" ref="Q5:Q13" ca="1" si="0">SUM(B5:P5)</f>
        <v>80919.964697430798</v>
      </c>
    </row>
    <row r="6" spans="1:17">
      <c r="A6" s="477" t="s">
        <v>194</v>
      </c>
      <c r="B6" s="478">
        <f>'openbare verlichting'!B8</f>
        <v>1534.2460000000001</v>
      </c>
      <c r="C6" s="478"/>
      <c r="D6" s="478"/>
      <c r="E6" s="478"/>
      <c r="F6" s="478"/>
      <c r="G6" s="478"/>
      <c r="H6" s="478"/>
      <c r="I6" s="478"/>
      <c r="J6" s="478"/>
      <c r="K6" s="478"/>
      <c r="L6" s="478"/>
      <c r="M6" s="478"/>
      <c r="N6" s="478"/>
      <c r="O6" s="478"/>
      <c r="P6" s="479"/>
      <c r="Q6" s="477">
        <f t="shared" si="0"/>
        <v>1534.2460000000001</v>
      </c>
    </row>
    <row r="7" spans="1:17">
      <c r="A7" s="477" t="s">
        <v>112</v>
      </c>
      <c r="B7" s="478">
        <f>landbouw!B8</f>
        <v>4599.0303084400002</v>
      </c>
      <c r="C7" s="478">
        <f>landbouw!C8</f>
        <v>7639.7142857142862</v>
      </c>
      <c r="D7" s="478">
        <f>landbouw!D8</f>
        <v>0</v>
      </c>
      <c r="E7" s="478">
        <f>landbouw!E8</f>
        <v>118.59133341983573</v>
      </c>
      <c r="F7" s="478">
        <f>landbouw!F8</f>
        <v>16810.331620124507</v>
      </c>
      <c r="G7" s="478">
        <f>landbouw!G8</f>
        <v>0</v>
      </c>
      <c r="H7" s="478">
        <f>landbouw!H8</f>
        <v>0</v>
      </c>
      <c r="I7" s="478">
        <f>landbouw!I8</f>
        <v>0</v>
      </c>
      <c r="J7" s="478">
        <f>landbouw!J8</f>
        <v>662.09118146453022</v>
      </c>
      <c r="K7" s="478">
        <f>landbouw!K8</f>
        <v>0</v>
      </c>
      <c r="L7" s="478">
        <f>landbouw!L8</f>
        <v>0</v>
      </c>
      <c r="M7" s="478">
        <f>landbouw!M8</f>
        <v>0</v>
      </c>
      <c r="N7" s="478">
        <f>landbouw!N8</f>
        <v>0</v>
      </c>
      <c r="O7" s="478">
        <f>landbouw!O8</f>
        <v>0</v>
      </c>
      <c r="P7" s="479">
        <f>landbouw!P8</f>
        <v>0</v>
      </c>
      <c r="Q7" s="477">
        <f t="shared" si="0"/>
        <v>29829.758729163157</v>
      </c>
    </row>
    <row r="8" spans="1:17">
      <c r="A8" s="477" t="s">
        <v>638</v>
      </c>
      <c r="B8" s="478">
        <f>industrie!B18</f>
        <v>27888.669845290002</v>
      </c>
      <c r="C8" s="478">
        <f>industrie!C18</f>
        <v>0</v>
      </c>
      <c r="D8" s="478">
        <f>industrie!D18</f>
        <v>21394.025646690621</v>
      </c>
      <c r="E8" s="478">
        <f>industrie!E18</f>
        <v>1961.0436832727819</v>
      </c>
      <c r="F8" s="478">
        <f>industrie!F18</f>
        <v>8052.4963328642207</v>
      </c>
      <c r="G8" s="478">
        <f>industrie!G18</f>
        <v>0</v>
      </c>
      <c r="H8" s="478">
        <f>industrie!H18</f>
        <v>0</v>
      </c>
      <c r="I8" s="478">
        <f>industrie!I18</f>
        <v>0</v>
      </c>
      <c r="J8" s="478">
        <f>industrie!J18</f>
        <v>176.49990003197533</v>
      </c>
      <c r="K8" s="478">
        <f>industrie!K18</f>
        <v>0</v>
      </c>
      <c r="L8" s="478">
        <f>industrie!L18</f>
        <v>0</v>
      </c>
      <c r="M8" s="478">
        <f>industrie!M18</f>
        <v>0</v>
      </c>
      <c r="N8" s="478">
        <f>industrie!N18</f>
        <v>5402.2909201318198</v>
      </c>
      <c r="O8" s="478">
        <f>industrie!O18</f>
        <v>0</v>
      </c>
      <c r="P8" s="479">
        <f>industrie!P18</f>
        <v>0</v>
      </c>
      <c r="Q8" s="477">
        <f t="shared" si="0"/>
        <v>64875.026328281412</v>
      </c>
    </row>
    <row r="9" spans="1:17" s="483" customFormat="1">
      <c r="A9" s="481" t="s">
        <v>564</v>
      </c>
      <c r="B9" s="482">
        <f>transport!B14</f>
        <v>76.861950000206562</v>
      </c>
      <c r="C9" s="482">
        <f>transport!C14</f>
        <v>0</v>
      </c>
      <c r="D9" s="482">
        <f>transport!D14</f>
        <v>162.94157005613366</v>
      </c>
      <c r="E9" s="482">
        <f>transport!E14</f>
        <v>728.01432811672828</v>
      </c>
      <c r="F9" s="482">
        <f>transport!F14</f>
        <v>0</v>
      </c>
      <c r="G9" s="482">
        <f>transport!G14</f>
        <v>321496.49556720036</v>
      </c>
      <c r="H9" s="482">
        <f>transport!H14</f>
        <v>45118.469086676378</v>
      </c>
      <c r="I9" s="482">
        <f>transport!I14</f>
        <v>0</v>
      </c>
      <c r="J9" s="482">
        <f>transport!J14</f>
        <v>0</v>
      </c>
      <c r="K9" s="482">
        <f>transport!K14</f>
        <v>0</v>
      </c>
      <c r="L9" s="482">
        <f>transport!L14</f>
        <v>0</v>
      </c>
      <c r="M9" s="482">
        <f>transport!M14</f>
        <v>11479.996079562583</v>
      </c>
      <c r="N9" s="482">
        <f>transport!N14</f>
        <v>0</v>
      </c>
      <c r="O9" s="482">
        <f>transport!O14</f>
        <v>0</v>
      </c>
      <c r="P9" s="482">
        <f>transport!P14</f>
        <v>0</v>
      </c>
      <c r="Q9" s="481">
        <f>SUM(B9:P9)</f>
        <v>379062.77858161239</v>
      </c>
    </row>
    <row r="10" spans="1:17">
      <c r="A10" s="477" t="s">
        <v>554</v>
      </c>
      <c r="B10" s="478">
        <f>transport!B54</f>
        <v>0</v>
      </c>
      <c r="C10" s="478">
        <f>transport!C54</f>
        <v>0</v>
      </c>
      <c r="D10" s="478">
        <f>transport!D54</f>
        <v>0</v>
      </c>
      <c r="E10" s="478">
        <f>transport!E54</f>
        <v>0</v>
      </c>
      <c r="F10" s="478">
        <f>transport!F54</f>
        <v>0</v>
      </c>
      <c r="G10" s="478">
        <f>transport!G54</f>
        <v>3420.1542188634758</v>
      </c>
      <c r="H10" s="478">
        <f>transport!H54</f>
        <v>0</v>
      </c>
      <c r="I10" s="478">
        <f>transport!I54</f>
        <v>0</v>
      </c>
      <c r="J10" s="478">
        <f>transport!J54</f>
        <v>0</v>
      </c>
      <c r="K10" s="478">
        <f>transport!K54</f>
        <v>0</v>
      </c>
      <c r="L10" s="478">
        <f>transport!L54</f>
        <v>0</v>
      </c>
      <c r="M10" s="478">
        <f>transport!M54</f>
        <v>106.08553236138792</v>
      </c>
      <c r="N10" s="478">
        <f>transport!N54</f>
        <v>0</v>
      </c>
      <c r="O10" s="478">
        <f>transport!O54</f>
        <v>0</v>
      </c>
      <c r="P10" s="479">
        <f>transport!P54</f>
        <v>0</v>
      </c>
      <c r="Q10" s="477">
        <f t="shared" si="0"/>
        <v>3526.2397512248635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137103.44919166618</v>
      </c>
      <c r="C14" s="488">
        <f t="shared" ref="C14:Q14" ca="1" si="1">SUM(C4:C13)</f>
        <v>7639.7142857142862</v>
      </c>
      <c r="D14" s="488">
        <f t="shared" ca="1" si="1"/>
        <v>174238.01137533213</v>
      </c>
      <c r="E14" s="488">
        <f t="shared" si="1"/>
        <v>11121.43263752122</v>
      </c>
      <c r="F14" s="488">
        <f t="shared" ca="1" si="1"/>
        <v>31578.975799504122</v>
      </c>
      <c r="G14" s="488">
        <f t="shared" si="1"/>
        <v>324916.64978606382</v>
      </c>
      <c r="H14" s="488">
        <f t="shared" si="1"/>
        <v>45118.469086676378</v>
      </c>
      <c r="I14" s="488">
        <f t="shared" si="1"/>
        <v>0</v>
      </c>
      <c r="J14" s="488">
        <f t="shared" si="1"/>
        <v>838.59108149650558</v>
      </c>
      <c r="K14" s="488">
        <f t="shared" si="1"/>
        <v>0</v>
      </c>
      <c r="L14" s="488">
        <f t="shared" ca="1" si="1"/>
        <v>0</v>
      </c>
      <c r="M14" s="488">
        <f t="shared" si="1"/>
        <v>11586.081611923972</v>
      </c>
      <c r="N14" s="488">
        <f t="shared" ca="1" si="1"/>
        <v>35679.074501333555</v>
      </c>
      <c r="O14" s="488">
        <f t="shared" si="1"/>
        <v>420.53666666666669</v>
      </c>
      <c r="P14" s="489">
        <f t="shared" si="1"/>
        <v>2154.5333333333333</v>
      </c>
      <c r="Q14" s="489">
        <f t="shared" ca="1" si="1"/>
        <v>782395.51935723226</v>
      </c>
    </row>
    <row r="16" spans="1:17">
      <c r="A16" s="491" t="s">
        <v>559</v>
      </c>
      <c r="B16" s="841">
        <f ca="1">huishoudens!B10</f>
        <v>0.15835165973658136</v>
      </c>
      <c r="C16" s="841">
        <f ca="1">huishoudens!C10</f>
        <v>0.2337675965707724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9510.750045314855</v>
      </c>
      <c r="C21" s="478">
        <f t="shared" ref="C21:C30" ca="1" si="3">C4*$C$16</f>
        <v>0</v>
      </c>
      <c r="D21" s="478">
        <f t="shared" ref="D21:D30" si="4">D4*$D$16</f>
        <v>24649.378809022881</v>
      </c>
      <c r="E21" s="478">
        <f t="shared" ref="E21:E30" si="5">E4*$E$16</f>
        <v>1765.9126075463628</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35926.041461884102</v>
      </c>
    </row>
    <row r="22" spans="1:17">
      <c r="A22" s="477" t="s">
        <v>156</v>
      </c>
      <c r="B22" s="478">
        <f t="shared" ca="1" si="2"/>
        <v>6800.2058315306722</v>
      </c>
      <c r="C22" s="478">
        <f t="shared" ca="1" si="3"/>
        <v>0</v>
      </c>
      <c r="D22" s="478">
        <f t="shared" ca="1" si="4"/>
        <v>6192.1921110113635</v>
      </c>
      <c r="E22" s="478">
        <f t="shared" si="5"/>
        <v>121.31619989923296</v>
      </c>
      <c r="F22" s="478">
        <f t="shared" ca="1" si="6"/>
        <v>1793.2114750196104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14906.92561746088</v>
      </c>
    </row>
    <row r="23" spans="1:17">
      <c r="A23" s="477" t="s">
        <v>194</v>
      </c>
      <c r="B23" s="478">
        <f t="shared" ca="1" si="2"/>
        <v>242.95040054421102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242.95040054421102</v>
      </c>
    </row>
    <row r="24" spans="1:17">
      <c r="A24" s="477" t="s">
        <v>112</v>
      </c>
      <c r="B24" s="478">
        <f t="shared" ca="1" si="2"/>
        <v>728.2640825203157</v>
      </c>
      <c r="C24" s="478">
        <f t="shared" ca="1" si="3"/>
        <v>1785.9176470588238</v>
      </c>
      <c r="D24" s="478">
        <f t="shared" si="4"/>
        <v>0</v>
      </c>
      <c r="E24" s="478">
        <f t="shared" si="5"/>
        <v>26.920232686302711</v>
      </c>
      <c r="F24" s="478">
        <f t="shared" si="6"/>
        <v>4488.3585425732435</v>
      </c>
      <c r="G24" s="478">
        <f t="shared" si="7"/>
        <v>0</v>
      </c>
      <c r="H24" s="478">
        <f t="shared" si="8"/>
        <v>0</v>
      </c>
      <c r="I24" s="478">
        <f t="shared" si="9"/>
        <v>0</v>
      </c>
      <c r="J24" s="478">
        <f t="shared" si="10"/>
        <v>234.38027823844368</v>
      </c>
      <c r="K24" s="478">
        <f t="shared" si="11"/>
        <v>0</v>
      </c>
      <c r="L24" s="478">
        <f t="shared" si="12"/>
        <v>0</v>
      </c>
      <c r="M24" s="478">
        <f t="shared" si="13"/>
        <v>0</v>
      </c>
      <c r="N24" s="478">
        <f t="shared" si="14"/>
        <v>0</v>
      </c>
      <c r="O24" s="478">
        <f t="shared" si="15"/>
        <v>0</v>
      </c>
      <c r="P24" s="479">
        <f t="shared" si="16"/>
        <v>0</v>
      </c>
      <c r="Q24" s="477">
        <f t="shared" ca="1" si="17"/>
        <v>7263.8407830771293</v>
      </c>
    </row>
    <row r="25" spans="1:17">
      <c r="A25" s="477" t="s">
        <v>638</v>
      </c>
      <c r="B25" s="478">
        <f t="shared" ca="1" si="2"/>
        <v>4416.2171578472198</v>
      </c>
      <c r="C25" s="478">
        <f t="shared" ca="1" si="3"/>
        <v>0</v>
      </c>
      <c r="D25" s="478">
        <f t="shared" si="4"/>
        <v>4321.5931806315057</v>
      </c>
      <c r="E25" s="478">
        <f t="shared" si="5"/>
        <v>445.15691610292151</v>
      </c>
      <c r="F25" s="478">
        <f t="shared" si="6"/>
        <v>2150.0165208747471</v>
      </c>
      <c r="G25" s="478">
        <f t="shared" si="7"/>
        <v>0</v>
      </c>
      <c r="H25" s="478">
        <f t="shared" si="8"/>
        <v>0</v>
      </c>
      <c r="I25" s="478">
        <f t="shared" si="9"/>
        <v>0</v>
      </c>
      <c r="J25" s="478">
        <f t="shared" si="10"/>
        <v>62.480964611319266</v>
      </c>
      <c r="K25" s="478">
        <f t="shared" si="11"/>
        <v>0</v>
      </c>
      <c r="L25" s="478">
        <f t="shared" si="12"/>
        <v>0</v>
      </c>
      <c r="M25" s="478">
        <f t="shared" si="13"/>
        <v>0</v>
      </c>
      <c r="N25" s="478">
        <f t="shared" si="14"/>
        <v>0</v>
      </c>
      <c r="O25" s="478">
        <f t="shared" si="15"/>
        <v>0</v>
      </c>
      <c r="P25" s="479">
        <f t="shared" si="16"/>
        <v>0</v>
      </c>
      <c r="Q25" s="477">
        <f t="shared" ca="1" si="17"/>
        <v>11395.464740067713</v>
      </c>
    </row>
    <row r="26" spans="1:17" s="483" customFormat="1">
      <c r="A26" s="481" t="s">
        <v>564</v>
      </c>
      <c r="B26" s="835">
        <f t="shared" ca="1" si="2"/>
        <v>12.171217353122838</v>
      </c>
      <c r="C26" s="482">
        <f t="shared" ca="1" si="3"/>
        <v>0</v>
      </c>
      <c r="D26" s="482">
        <f t="shared" si="4"/>
        <v>32.914197151339003</v>
      </c>
      <c r="E26" s="482">
        <f t="shared" si="5"/>
        <v>165.25925248249732</v>
      </c>
      <c r="F26" s="482">
        <f t="shared" si="6"/>
        <v>0</v>
      </c>
      <c r="G26" s="482">
        <f t="shared" si="7"/>
        <v>85839.564316442498</v>
      </c>
      <c r="H26" s="482">
        <f t="shared" si="8"/>
        <v>11234.498802582419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97284.40778601187</v>
      </c>
    </row>
    <row r="27" spans="1:17">
      <c r="A27" s="477" t="s">
        <v>554</v>
      </c>
      <c r="B27" s="478">
        <f t="shared" ca="1" si="2"/>
        <v>0</v>
      </c>
      <c r="C27" s="478">
        <f t="shared" ca="1" si="3"/>
        <v>0</v>
      </c>
      <c r="D27" s="478">
        <f t="shared" si="4"/>
        <v>0</v>
      </c>
      <c r="E27" s="478">
        <f t="shared" si="5"/>
        <v>0</v>
      </c>
      <c r="F27" s="478">
        <f t="shared" si="6"/>
        <v>0</v>
      </c>
      <c r="G27" s="478">
        <f t="shared" si="7"/>
        <v>913.18117643654807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913.18117643654807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21710.558735110397</v>
      </c>
      <c r="C31" s="488">
        <f t="shared" ca="1" si="18"/>
        <v>1785.9176470588238</v>
      </c>
      <c r="D31" s="488">
        <f t="shared" ca="1" si="18"/>
        <v>35196.07829781709</v>
      </c>
      <c r="E31" s="488">
        <f t="shared" si="18"/>
        <v>2524.5652087173171</v>
      </c>
      <c r="F31" s="488">
        <f t="shared" ca="1" si="18"/>
        <v>8431.5865384676017</v>
      </c>
      <c r="G31" s="488">
        <f t="shared" si="18"/>
        <v>86752.745492879039</v>
      </c>
      <c r="H31" s="488">
        <f t="shared" si="18"/>
        <v>11234.498802582419</v>
      </c>
      <c r="I31" s="488">
        <f t="shared" si="18"/>
        <v>0</v>
      </c>
      <c r="J31" s="488">
        <f t="shared" si="18"/>
        <v>296.86124284976296</v>
      </c>
      <c r="K31" s="488">
        <f t="shared" si="18"/>
        <v>0</v>
      </c>
      <c r="L31" s="488">
        <f t="shared" ca="1" si="18"/>
        <v>0</v>
      </c>
      <c r="M31" s="488">
        <f t="shared" si="18"/>
        <v>0</v>
      </c>
      <c r="N31" s="488">
        <f t="shared" ca="1" si="18"/>
        <v>0</v>
      </c>
      <c r="O31" s="488">
        <f t="shared" si="18"/>
        <v>0</v>
      </c>
      <c r="P31" s="489">
        <f t="shared" si="18"/>
        <v>0</v>
      </c>
      <c r="Q31" s="489">
        <f t="shared" ca="1" si="18"/>
        <v>167932.81196548245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0.15835165973658136</v>
      </c>
      <c r="C17" s="528">
        <f ca="1">'EF ele_warmte'!B22</f>
        <v>0.2337675965707724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0.15835165973658136</v>
      </c>
      <c r="C17" s="528">
        <f ca="1">'EF ele_warmte'!B22</f>
        <v>0.2337675965707724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0.15835165973658136</v>
      </c>
      <c r="C29" s="529">
        <f ca="1">'EF ele_warmte'!B22</f>
        <v>0.2337675965707724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2018-06-27T09:40:13Z</dcterms:modified>
</cp:coreProperties>
</file>