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L16" i="16" s="1"/>
  <c r="L18" s="1"/>
  <c r="S58" i="18"/>
  <c r="R58"/>
  <c r="Q58"/>
  <c r="N16" i="16" s="1"/>
  <c r="P58" i="1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F10"/>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F16"/>
  <c r="C13" i="15"/>
  <c r="L6" i="17"/>
  <c r="L5" s="1"/>
  <c r="B8" i="9"/>
  <c r="B6" i="48" s="1"/>
  <c r="Q6" s="1"/>
  <c r="C16" i="15"/>
  <c r="D10" i="14" s="1"/>
  <c r="I8" i="18"/>
  <c r="J68" i="14" s="1"/>
  <c r="I14" i="15"/>
  <c r="I16" s="1"/>
  <c r="J10" i="14" s="1"/>
  <c r="B13" i="16"/>
  <c r="C35"/>
  <c r="E9" i="14"/>
  <c r="D14" i="15"/>
  <c r="P22" i="16"/>
  <c r="Q39" i="14" s="1"/>
  <c r="P18" i="16"/>
  <c r="Q13" i="14" s="1"/>
  <c r="N6" i="17"/>
  <c r="N5" s="1"/>
  <c r="J8"/>
  <c r="K22" i="14" s="1"/>
  <c r="F8" i="17"/>
  <c r="N13" i="15"/>
  <c r="L13"/>
  <c r="L16" s="1"/>
  <c r="F13"/>
  <c r="D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M16" i="18" l="1"/>
  <c r="M19" s="1"/>
  <c r="N20" i="14"/>
  <c r="N23" s="1"/>
  <c r="J9" i="18"/>
  <c r="M7"/>
  <c r="M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E22" i="16" l="1"/>
  <c r="F39" i="14" s="1"/>
  <c r="F41" s="1"/>
  <c r="F53" s="1"/>
  <c r="F55" s="1"/>
  <c r="J8" i="48"/>
  <c r="J25" s="1"/>
  <c r="N25"/>
  <c r="N31" s="1"/>
  <c r="N14"/>
  <c r="E25"/>
  <c r="E31" s="1"/>
  <c r="E14"/>
  <c r="K13" i="14"/>
  <c r="K15" s="1"/>
  <c r="K23" s="1"/>
  <c r="K55" s="1"/>
  <c r="H55"/>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<sst xmlns="http://schemas.openxmlformats.org/spreadsheetml/2006/main" count="1924" uniqueCount="818">
  <si>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</si>
  <si>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</si>
  <si>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</si>
  <si>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</si>
  <si>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</si>
  <si>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</si>
  <si>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</si>
  <si>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</si>
  <si>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</si>
  <si>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</si>
  <si>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</si>
  <si>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</si>
  <si>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</si>
  <si>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</si>
  <si>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</si>
  <si>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</si>
  <si>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</si>
  <si>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</si>
  <si>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</si>
  <si>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</si>
  <si>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</si>
  <si>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</si>
  <si>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</si>
  <si>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</si>
  <si>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</si>
  <si>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</si>
  <si>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</si>
  <si>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</si>
  <si>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</si>
  <si>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</si>
  <si>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</si>
  <si>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</si>
  <si>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</si>
  <si>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</si>
  <si>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</si>
  <si>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</si>
  <si>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</si>
  <si>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</si>
  <si>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</si>
  <si>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</si>
  <si>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</si>
  <si>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</si>
  <si>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</si>
  <si>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</si>
  <si>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</si>
  <si>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</si>
  <si>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</si>
  <si>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</si>
  <si>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</si>
  <si>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</si>
  <si>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</si>
  <si>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</si>
  <si>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</si>
  <si>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</si>
  <si>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</si>
  <si>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</si>
  <si>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</si>
  <si>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</si>
  <si>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</si>
  <si>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</si>
  <si>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</si>
  <si>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</si>
  <si>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</si>
  <si>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</si>
  <si>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</si>
  <si>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</si>
  <si>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</si>
  <si>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</si>
  <si>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</si>
  <si>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</si>
  <si>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</si>
  <si>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</si>
  <si>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</si>
  <si>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</si>
  <si>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</si>
  <si>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</si>
  <si>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</si>
  <si>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</si>
  <si>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</si>
  <si>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</si>
  <si>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</si>
  <si>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</si>
  <si>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</si>
  <si>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</si>
  <si>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</si>
  <si>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</si>
  <si>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</si>
  <si>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</si>
  <si>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</si>
  <si>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</si>
  <si>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</si>
  <si>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</si>
  <si>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</si>
  <si>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</si>
  <si>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</si>
  <si>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</si>
  <si>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</si>
  <si>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</si>
  <si>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</si>
  <si>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</si>
  <si>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</si>
  <si>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</si>
  <si>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</si>
  <si>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</si>
  <si>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</si>
  <si>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</si>
  <si>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</si>
  <si>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</si>
  <si>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</si>
  <si>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</si>
  <si>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</si>
  <si>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</si>
  <si>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</si>
  <si>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</si>
  <si>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</si>
  <si>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</si>
  <si>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</si>
  <si>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</si>
  <si>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</si>
  <si>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</si>
  <si>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</si>
  <si>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</si>
  <si>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</si>
  <si>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</si>
  <si>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</si>
  <si>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</si>
  <si>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</si>
  <si>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</si>
  <si>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</si>
  <si>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</si>
  <si>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</si>
  <si>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</si>
  <si>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</si>
  <si>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</si>
  <si>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</si>
  <si>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</si>
  <si>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</si>
  <si>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</si>
  <si>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</si>
  <si>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</si>
  <si>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</si>
  <si>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</si>
  <si>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</si>
  <si>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</si>
  <si>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</si>
  <si>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</si>
  <si>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</si>
  <si>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</si>
  <si>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</si>
  <si>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</si>
  <si>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</si>
  <si>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</si>
  <si>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</si>
  <si>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</si>
  <si>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</si>
  <si>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</si>
  <si>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</si>
  <si>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</si>
  <si>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</si>
  <si>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</si>
  <si>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</si>
  <si>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</si>
  <si>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</si>
  <si>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</si>
  <si>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</si>
  <si>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</si>
  <si>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</si>
  <si>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</si>
  <si>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</si>
  <si>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</si>
  <si>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</si>
  <si>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</si>
  <si>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</si>
  <si>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</si>
  <si>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</si>
  <si>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</si>
  <si>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</si>
  <si>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</si>
  <si>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</si>
  <si>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</si>
  <si>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</si>
  <si>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</si>
  <si>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</si>
  <si>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</si>
  <si>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</si>
  <si>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</si>
  <si>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</si>
  <si>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</si>
  <si>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</si>
  <si>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</si>
  <si>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</si>
  <si>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</si>
  <si>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</si>
  <si>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</si>
  <si>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</si>
  <si>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</si>
  <si>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</si>
  <si>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</si>
  <si>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</si>
  <si>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</si>
  <si>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</si>
  <si>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</si>
  <si>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</si>
  <si>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</si>
  <si>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</si>
  <si>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</si>
  <si>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</si>
  <si>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</si>
  <si>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</si>
  <si>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</si>
  <si>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</si>
  <si>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</si>
  <si>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</si>
  <si>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</si>
  <si>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</si>
  <si>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</si>
  <si>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</si>
  <si>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</si>
  <si>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</si>
  <si>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</si>
  <si>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</si>
  <si>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</si>
  <si>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</si>
  <si>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</si>
  <si>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</si>
  <si>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</si>
  <si>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</si>
  <si>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</si>
  <si>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</si>
  <si>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</si>
  <si>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</si>
  <si>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</si>
  <si>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</si>
  <si>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</si>
  <si>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</si>
  <si>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</si>
  <si>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</si>
  <si>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</si>
  <si>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</si>
  <si>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</si>
  <si>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</si>
  <si>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</si>
  <si>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</si>
  <si>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</si>
  <si>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</si>
  <si>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</si>
  <si>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</si>
  <si>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</si>
  <si>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</si>
  <si>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</si>
  <si>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</si>
  <si>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</si>
  <si>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</si>
  <si>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</si>
  <si>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</si>
  <si>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</si>
  <si>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</si>
  <si>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</si>
  <si>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</si>
  <si>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</si>
  <si>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</si>
  <si>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</si>
  <si>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</si>
  <si>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</si>
  <si>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</si>
  <si>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</si>
  <si>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</si>
  <si>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</si>
  <si>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</si>
  <si>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</si>
  <si>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</si>
  <si>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</si>
  <si>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</si>
  <si>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</si>
  <si>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</si>
  <si>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</si>
  <si>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</si>
  <si>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</si>
  <si>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</si>
  <si>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</si>
  <si>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</si>
  <si>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</si>
  <si>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</si>
  <si>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</si>
  <si>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</si>
  <si>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</si>
  <si>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</si>
  <si>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</si>
  <si>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</si>
  <si>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</si>
  <si>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</si>
  <si>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</si>
  <si>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</si>
  <si>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</si>
  <si>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</si>
  <si>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</si>
  <si>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</si>
  <si>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</si>
  <si>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</si>
  <si>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</si>
  <si>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</si>
  <si>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</si>
  <si>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</si>
  <si>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</si>
  <si>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</si>
  <si>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</si>
  <si>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</si>
  <si>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</si>
  <si>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</si>
  <si>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</si>
  <si>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</si>
  <si>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</si>
  <si>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</si>
  <si>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</si>
  <si>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</si>
  <si>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</si>
  <si>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</si>
  <si>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</si>
  <si>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</si>
  <si>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</si>
  <si>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</si>
  <si>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</si>
  <si>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</si>
  <si>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</si>
  <si>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</si>
  <si>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</si>
  <si>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</si>
  <si>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</si>
  <si>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</si>
  <si>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</si>
  <si>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</si>
  <si>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</si>
  <si>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</si>
  <si>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</si>
  <si>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</si>
  <si>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</si>
  <si>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</si>
  <si>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</si>
  <si>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</si>
  <si>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</si>
  <si>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</si>
  <si>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</si>
  <si>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</si>
  <si>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</si>
  <si>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</si>
  <si>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</si>
  <si>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</si>
  <si>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</si>
  <si>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</si>
  <si>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</si>
  <si>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</si>
  <si>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</si>
  <si>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</si>
  <si>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</si>
  <si>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</si>
  <si>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</si>
  <si>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</si>
  <si>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</si>
  <si>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</si>
  <si>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</si>
  <si>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</si>
  <si>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</si>
  <si>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</si>
  <si>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</si>
  <si>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</si>
  <si>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</si>
  <si>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</si>
  <si>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</si>
  <si>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</si>
  <si>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</si>
  <si>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</si>
  <si>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</si>
  <si>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</si>
  <si>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</si>
  <si>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</si>
  <si>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</si>
  <si>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</si>
  <si>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</si>
  <si>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</si>
  <si>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</si>
  <si>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</si>
  <si>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</si>
  <si>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</si>
  <si>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</si>
  <si>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</si>
  <si>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</si>
  <si>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</si>
  <si>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</si>
  <si>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</si>
  <si>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</si>
  <si>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</si>
  <si>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</si>
  <si>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</si>
  <si>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</si>
  <si>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</si>
  <si>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</si>
  <si>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</si>
  <si>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</si>
  <si>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</si>
  <si>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</si>
  <si>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</si>
  <si>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</si>
  <si>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</si>
  <si>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</si>
  <si>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</si>
  <si>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</si>
  <si>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</si>
  <si>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</si>
  <si>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</si>
  <si>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</si>
  <si>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</si>
  <si>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</si>
  <si>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</si>
  <si>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</si>
  <si>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</si>
  <si>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</si>
  <si>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</si>
  <si>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</si>
  <si>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</si>
  <si>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</si>
  <si>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</si>
  <si>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</si>
  <si>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</si>
  <si>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</si>
  <si>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</si>
  <si>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</si>
  <si>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</si>
  <si>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</si>
  <si>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</si>
  <si>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</si>
  <si>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</si>
  <si>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</si>
  <si>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</si>
  <si>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</si>
  <si>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</si>
  <si>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</si>
  <si>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</si>
  <si>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</si>
  <si>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</si>
  <si>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</si>
  <si>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</si>
  <si>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</si>
  <si>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</si>
  <si>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</si>
  <si>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</si>
  <si>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</si>
  <si>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</si>
  <si>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</si>
  <si>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</si>
  <si>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</si>
  <si>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</si>
  <si>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</si>
  <si>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</si>
  <si>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</si>
  <si>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</si>
  <si>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</si>
  <si>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</si>
  <si>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</si>
  <si>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</si>
  <si>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</si>
  <si>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</si>
  <si>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</si>
  <si>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</si>
  <si>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</si>
  <si>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</si>
  <si>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</si>
  <si>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</si>
  <si>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</si>
  <si>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</si>
  <si>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</si>
  <si>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</si>
  <si>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</si>
  <si>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</si>
  <si>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</si>
  <si>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</si>
  <si>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</si>
  <si>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</si>
  <si>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</si>
  <si>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</si>
  <si>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</si>
  <si>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</si>
  <si>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</si>
  <si>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</si>
  <si>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</si>
  <si>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</si>
  <si>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</si>
  <si>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</si>
  <si>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</si>
  <si>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</si>
  <si>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</si>
  <si>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</si>
  <si>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</si>
  <si>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</si>
  <si>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</si>
  <si>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</si>
  <si>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</si>
  <si>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</si>
  <si>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</si>
  <si>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</si>
  <si>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</si>
  <si>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</si>
  <si>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</si>
  <si>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</si>
  <si>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</si>
  <si>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</si>
  <si>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</si>
  <si>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</si>
  <si>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</si>
  <si>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</si>
  <si>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</si>
  <si>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</si>
  <si>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</si>
  <si>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</si>
  <si>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</si>
  <si>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</si>
  <si>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</si>
  <si>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</si>
  <si>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</si>
  <si>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</si>
  <si>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</si>
  <si>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</si>
  <si>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</si>
  <si>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</si>
  <si>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</si>
  <si>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</si>
  <si>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</si>
  <si>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</si>
  <si>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</si>
  <si>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</si>
  <si>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</si>
  <si>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</si>
  <si>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</si>
  <si>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</si>
  <si>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</si>
  <si>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</si>
  <si>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</si>
  <si>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</si>
  <si>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</si>
  <si>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</si>
  <si>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</si>
  <si>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</si>
  <si>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</si>
  <si>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</si>
  <si>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</si>
  <si>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</si>
  <si>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</si>
  <si>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</si>
  <si>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</si>
  <si>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</si>
  <si>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</si>
  <si>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</si>
  <si>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</si>
  <si>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</si>
  <si>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</si>
  <si>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</si>
  <si>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</si>
  <si>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</si>
  <si>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</si>
  <si>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</si>
  <si>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</si>
  <si>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</si>
  <si>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</si>
  <si>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</si>
  <si>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</si>
  <si>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</si>
  <si>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</si>
  <si>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</si>
  <si>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</si>
  <si>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</si>
  <si>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</si>
  <si>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</si>
  <si>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</si>
  <si>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</si>
  <si>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</si>
  <si>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</si>
  <si>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</si>
  <si>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</si>
  <si>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</si>
  <si>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</si>
  <si>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</si>
  <si>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</si>
  <si>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</si>
  <si>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</si>
  <si>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</si>
  <si>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</si>
  <si>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</si>
  <si>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</si>
  <si>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</si>
  <si>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</si>
  <si>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</si>
  <si>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</si>
  <si>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</si>
  <si>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</si>
  <si>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</si>
  <si>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</si>
  <si>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</si>
  <si>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</si>
  <si>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</si>
  <si>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</si>
  <si>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</si>
  <si>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</si>
  <si>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</si>
  <si>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</si>
  <si>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</si>
  <si>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</si>
  <si>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</si>
  <si>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</si>
  <si>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</si>
  <si>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</si>
  <si>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</si>
  <si>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</si>
  <si>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</si>
  <si>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</si>
  <si>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</si>
  <si>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</si>
  <si>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</si>
  <si>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</si>
  <si>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</si>
  <si>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</si>
  <si>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</si>
  <si>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</si>
  <si>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</si>
  <si>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</si>
  <si>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</si>
  <si>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</si>
  <si>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</si>
  <si>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</si>
  <si>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</si>
  <si>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</si>
  <si>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</si>
  <si>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</si>
  <si>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</si>
  <si>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</si>
  <si>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</si>
  <si>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</si>
  <si>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</si>
  <si>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</si>
  <si>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</si>
  <si>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</si>
  <si>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</si>
  <si>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</si>
  <si>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</si>
  <si>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</si>
  <si>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</si>
  <si>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</si>
  <si>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</si>
  <si>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</si>
  <si>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</si>
  <si>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</si>
  <si>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</si>
  <si>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</si>
  <si>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</si>
  <si>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</si>
  <si>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</si>
  <si>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</si>
  <si>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</si>
  <si>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</si>
  <si>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</si>
  <si>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</si>
  <si>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</si>
  <si>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</si>
  <si>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</si>
  <si>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</si>
  <si>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</si>
  <si>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</si>
  <si>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</si>
  <si>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</si>
  <si>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</si>
  <si>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</si>
  <si>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</si>
  <si>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</si>
  <si>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</si>
  <si>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</si>
  <si>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</si>
  <si>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</si>
  <si>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</si>
  <si>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</si>
  <si>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</si>
  <si>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</si>
  <si>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</si>
  <si>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</si>
  <si>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</si>
  <si>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</si>
  <si>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</si>
  <si>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</si>
  <si>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</si>
  <si>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</si>
  <si>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</si>
  <si>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</si>
  <si>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</si>
  <si>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</si>
  <si>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</si>
  <si>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</si>
  <si>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</si>
  <si>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</si>
  <si>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</si>
  <si>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</si>
  <si>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</si>
  <si>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</si>
  <si>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</si>
  <si>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</si>
  <si>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</si>
  <si>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</si>
  <si>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</si>
  <si>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</si>
  <si>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</si>
  <si>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</si>
  <si>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</si>
  <si>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</si>
  <si>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</si>
  <si>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</si>
  <si>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</si>
  <si>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</si>
  <si>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</si>
  <si>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</si>
  <si>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</si>
  <si>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</si>
  <si>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</si>
  <si>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</si>
  <si>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</si>
  <si>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</si>
  <si>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</si>
  <si>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</si>
  <si>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</si>
  <si>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</si>
  <si>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</si>
  <si>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</si>
  <si>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</si>
  <si>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</si>
  <si>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</si>
  <si>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</si>
  <si>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</si>
  <si>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</si>
  <si>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</si>
  <si>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</si>
  <si>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</si>
  <si>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</si>
  <si>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</si>
  <si>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</si>
  <si>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</si>
  <si>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</si>
  <si>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</si>
  <si>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</si>
  <si>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</si>
  <si>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</si>
  <si>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</si>
  <si>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</si>
  <si>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</si>
  <si>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</si>
  <si>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</si>
  <si>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</si>
  <si>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</si>
  <si>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</si>
  <si>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</si>
  <si>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</si>
  <si>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</si>
  <si>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</si>
  <si>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</si>
  <si>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</si>
  <si>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</si>
  <si>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</si>
  <si>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</si>
  <si>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</si>
  <si>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</si>
  <si>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</si>
  <si>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</si>
  <si>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</si>
  <si>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</si>
  <si>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</si>
  <si>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</si>
  <si>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</si>
  <si>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</si>
  <si>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</si>
  <si>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</si>
  <si>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</si>
  <si>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</si>
  <si>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</si>
  <si>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</si>
  <si>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</si>
  <si>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</si>
  <si>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</si>
  <si>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</si>
  <si>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</si>
  <si>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</si>
  <si>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</si>
  <si>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</si>
  <si>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</si>
  <si>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</si>
  <si>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</si>
  <si>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</si>
  <si>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</si>
  <si>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</si>
  <si>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</si>
  <si>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</si>
  <si>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</si>
  <si>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</si>
  <si>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</si>
  <si>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</si>
  <si>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</si>
  <si>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</si>
  <si>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</si>
  <si>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</si>
  <si>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</si>
  <si>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</si>
  <si>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</si>
  <si>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</si>
  <si>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</si>
  <si>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</si>
  <si>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</si>
  <si>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</si>
  <si>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11005</t>
  </si>
  <si>
    <t>BOOM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</si>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</sst>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105148.05933220686</c:v>
                </c:pt>
                <c:pt idx="1">
                  <c:v>57227.312580759579</c:v>
                </c:pt>
                <c:pt idx="2">
                  <c:v>1002.915</c:v>
                </c:pt>
                <c:pt idx="3">
                  <c:v>3691.9555635148454</c:v>
                </c:pt>
                <c:pt idx="4">
                  <c:v>13902.308514253702</c:v>
                </c:pt>
                <c:pt idx="5">
                  <c:v>128634.56905310306</c:v>
                </c:pt>
                <c:pt idx="6">
                  <c:v>2121.6860178552215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105148.05933220686</c:v>
                </c:pt>
                <c:pt idx="1">
                  <c:v>57227.312580759579</c:v>
                </c:pt>
                <c:pt idx="2">
                  <c:v>1002.915</c:v>
                </c:pt>
                <c:pt idx="3">
                  <c:v>3691.9555635148454</c:v>
                </c:pt>
                <c:pt idx="4">
                  <c:v>13902.308514253702</c:v>
                </c:pt>
                <c:pt idx="5">
                  <c:v>128634.56905310306</c:v>
                </c:pt>
                <c:pt idx="6">
                  <c:v>2121.6860178552215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20319.870539187272</c:v>
                </c:pt>
                <c:pt idx="1">
                  <c:v>11429.109106315818</c:v>
                </c:pt>
                <c:pt idx="2">
                  <c:v>191.01494271913955</c:v>
                </c:pt>
                <c:pt idx="3">
                  <c:v>755.16486904441604</c:v>
                </c:pt>
                <c:pt idx="4">
                  <c:v>2629.2816675166059</c:v>
                </c:pt>
                <c:pt idx="5">
                  <c:v>32929.119320328733</c:v>
                </c:pt>
                <c:pt idx="6">
                  <c:v>549.44753349258451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0512"/>
        <c:axId val="183530240"/>
      </c:barChart>
      <c:catAx>
        <c:axId val="183360512"/>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60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20319.870539187272</c:v>
                </c:pt>
                <c:pt idx="1">
                  <c:v>11429.109106315818</c:v>
                </c:pt>
                <c:pt idx="2">
                  <c:v>191.01494271913955</c:v>
                </c:pt>
                <c:pt idx="3">
                  <c:v>755.16486904441604</c:v>
                </c:pt>
                <c:pt idx="4">
                  <c:v>2629.2816675166059</c:v>
                </c:pt>
                <c:pt idx="5">
                  <c:v>32929.119320328733</c:v>
                </c:pt>
                <c:pt idx="6">
                  <c:v>549.44753349258451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11005</v>
      </c>
      <c r="B6" s="415"/>
      <c r="C6" s="416"/>
    </row>
    <row r="7" spans="1:7" s="413" customFormat="1" ht="15.75" customHeight="1">
      <c r="A7" s="417" t="str">
        <f>txtMunicipality</f>
        <v>BOOM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7370</v>
      </c>
      <c r="C9" s="342">
        <v>7957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48.28</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43</v>
      </c>
      <c r="C29" s="356"/>
      <c r="D29" s="356"/>
      <c r="E29" s="356"/>
      <c r="F29" s="356"/>
    </row>
    <row r="30" spans="1:6">
      <c r="A30" s="355" t="s">
        <v>813</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17789.492187</v>
      </c>
    </row>
    <row r="37" spans="1:6">
      <c r="A37" s="348" t="s">
        <v>25</v>
      </c>
      <c r="B37" s="348" t="s">
        <v>28</v>
      </c>
      <c r="C37" s="334">
        <v>0</v>
      </c>
      <c r="D37" s="334">
        <v>0</v>
      </c>
      <c r="E37" s="334">
        <v>0</v>
      </c>
      <c r="F37" s="334">
        <v>0</v>
      </c>
    </row>
    <row r="38" spans="1:6">
      <c r="A38" s="348" t="s">
        <v>25</v>
      </c>
      <c r="B38" s="348" t="s">
        <v>29</v>
      </c>
      <c r="C38" s="334">
        <v>0</v>
      </c>
      <c r="D38" s="334">
        <v>0</v>
      </c>
      <c r="E38" s="334">
        <v>3</v>
      </c>
      <c r="F38" s="334">
        <v>17379.114898</v>
      </c>
    </row>
    <row r="39" spans="1:6">
      <c r="A39" s="348" t="s">
        <v>30</v>
      </c>
      <c r="B39" s="348" t="s">
        <v>31</v>
      </c>
      <c r="C39" s="334">
        <v>6134</v>
      </c>
      <c r="D39" s="334">
        <v>82890089.768999994</v>
      </c>
      <c r="E39" s="334">
        <v>7550</v>
      </c>
      <c r="F39" s="334">
        <v>25420306.414999999</v>
      </c>
    </row>
    <row r="40" spans="1:6">
      <c r="A40" s="348" t="s">
        <v>30</v>
      </c>
      <c r="B40" s="348" t="s">
        <v>29</v>
      </c>
      <c r="C40" s="334">
        <v>0</v>
      </c>
      <c r="D40" s="334">
        <v>0</v>
      </c>
      <c r="E40" s="334">
        <v>0</v>
      </c>
      <c r="F40" s="334">
        <v>0</v>
      </c>
    </row>
    <row r="41" spans="1:6">
      <c r="A41" s="348" t="s">
        <v>32</v>
      </c>
      <c r="B41" s="348" t="s">
        <v>33</v>
      </c>
      <c r="C41" s="334">
        <v>70</v>
      </c>
      <c r="D41" s="334">
        <v>1271791.3648999999</v>
      </c>
      <c r="E41" s="334">
        <v>126</v>
      </c>
      <c r="F41" s="334">
        <v>670478.99343999999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306816.00180000003</v>
      </c>
      <c r="E44" s="334">
        <v>15</v>
      </c>
      <c r="F44" s="334">
        <v>791708.73419999995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2591004.6146999998</v>
      </c>
      <c r="E48" s="334">
        <v>38</v>
      </c>
      <c r="F48" s="334">
        <v>4290186.8131999997</v>
      </c>
    </row>
    <row r="49" spans="1:6">
      <c r="A49" s="348" t="s">
        <v>32</v>
      </c>
      <c r="B49" s="348" t="s">
        <v>40</v>
      </c>
      <c r="C49" s="334">
        <v>0</v>
      </c>
      <c r="D49" s="334">
        <v>0</v>
      </c>
      <c r="E49" s="334">
        <v>0</v>
      </c>
      <c r="F49" s="334">
        <v>0</v>
      </c>
    </row>
    <row r="50" spans="1:6">
      <c r="A50" s="348" t="s">
        <v>32</v>
      </c>
      <c r="B50" s="348" t="s">
        <v>41</v>
      </c>
      <c r="C50" s="334">
        <v>7</v>
      </c>
      <c r="D50" s="334">
        <v>437416.90002</v>
      </c>
      <c r="E50" s="334">
        <v>12</v>
      </c>
      <c r="F50" s="334">
        <v>341739.03308999998</v>
      </c>
    </row>
    <row r="51" spans="1:6">
      <c r="A51" s="348" t="s">
        <v>42</v>
      </c>
      <c r="B51" s="348" t="s">
        <v>43</v>
      </c>
      <c r="C51" s="334">
        <v>0</v>
      </c>
      <c r="D51" s="334">
        <v>0</v>
      </c>
      <c r="E51" s="334">
        <v>3</v>
      </c>
      <c r="F51" s="334">
        <v>34610.496114000001</v>
      </c>
    </row>
    <row r="52" spans="1:6">
      <c r="A52" s="348" t="s">
        <v>42</v>
      </c>
      <c r="B52" s="348" t="s">
        <v>29</v>
      </c>
      <c r="C52" s="334">
        <v>4</v>
      </c>
      <c r="D52" s="334">
        <v>63214.300432999997</v>
      </c>
      <c r="E52" s="334">
        <v>2</v>
      </c>
      <c r="F52" s="334">
        <v>3164.3230551000001</v>
      </c>
    </row>
    <row r="53" spans="1:6">
      <c r="A53" s="348" t="s">
        <v>44</v>
      </c>
      <c r="B53" s="348" t="s">
        <v>45</v>
      </c>
      <c r="C53" s="334">
        <v>188</v>
      </c>
      <c r="D53" s="334">
        <v>3827799.3742</v>
      </c>
      <c r="E53" s="334">
        <v>376</v>
      </c>
      <c r="F53" s="334">
        <v>2882788.7193999998</v>
      </c>
    </row>
    <row r="54" spans="1:6">
      <c r="A54" s="348" t="s">
        <v>46</v>
      </c>
      <c r="B54" s="348" t="s">
        <v>47</v>
      </c>
      <c r="C54" s="334">
        <v>0</v>
      </c>
      <c r="D54" s="334">
        <v>0</v>
      </c>
      <c r="E54" s="334">
        <v>1</v>
      </c>
      <c r="F54" s="334">
        <v>1002915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2202862.4465000001</v>
      </c>
      <c r="E57" s="334">
        <v>73</v>
      </c>
      <c r="F57" s="334">
        <v>1233326.3365</v>
      </c>
    </row>
    <row r="58" spans="1:6">
      <c r="A58" s="348" t="s">
        <v>49</v>
      </c>
      <c r="B58" s="348" t="s">
        <v>51</v>
      </c>
      <c r="C58" s="334">
        <v>24</v>
      </c>
      <c r="D58" s="334">
        <v>958030.59776000003</v>
      </c>
      <c r="E58" s="334">
        <v>39</v>
      </c>
      <c r="F58" s="334">
        <v>405468.64533000003</v>
      </c>
    </row>
    <row r="59" spans="1:6">
      <c r="A59" s="348" t="s">
        <v>49</v>
      </c>
      <c r="B59" s="348" t="s">
        <v>52</v>
      </c>
      <c r="C59" s="334">
        <v>80</v>
      </c>
      <c r="D59" s="334">
        <v>4820694.0903000003</v>
      </c>
      <c r="E59" s="334">
        <v>155</v>
      </c>
      <c r="F59" s="334">
        <v>5692696.8123000003</v>
      </c>
    </row>
    <row r="60" spans="1:6">
      <c r="A60" s="348" t="s">
        <v>49</v>
      </c>
      <c r="B60" s="348" t="s">
        <v>53</v>
      </c>
      <c r="C60" s="334">
        <v>76</v>
      </c>
      <c r="D60" s="334">
        <v>4704743.0521</v>
      </c>
      <c r="E60" s="334">
        <v>151</v>
      </c>
      <c r="F60" s="334">
        <v>2389081.6150000002</v>
      </c>
    </row>
    <row r="61" spans="1:6">
      <c r="A61" s="348" t="s">
        <v>49</v>
      </c>
      <c r="B61" s="348" t="s">
        <v>54</v>
      </c>
      <c r="C61" s="334">
        <v>179</v>
      </c>
      <c r="D61" s="334">
        <v>13428557.887</v>
      </c>
      <c r="E61" s="334">
        <v>424</v>
      </c>
      <c r="F61" s="334">
        <v>5200669.9911000002</v>
      </c>
    </row>
    <row r="62" spans="1:6">
      <c r="A62" s="348" t="s">
        <v>49</v>
      </c>
      <c r="B62" s="348" t="s">
        <v>55</v>
      </c>
      <c r="C62" s="334">
        <v>15</v>
      </c>
      <c r="D62" s="334">
        <v>3330603.3184000002</v>
      </c>
      <c r="E62" s="334">
        <v>20</v>
      </c>
      <c r="F62" s="334">
        <v>1225292.8998</v>
      </c>
    </row>
    <row r="63" spans="1:6">
      <c r="A63" s="348" t="s">
        <v>49</v>
      </c>
      <c r="B63" s="348" t="s">
        <v>29</v>
      </c>
      <c r="C63" s="334">
        <v>84</v>
      </c>
      <c r="D63" s="334">
        <v>5089312.1776000001</v>
      </c>
      <c r="E63" s="334">
        <v>96</v>
      </c>
      <c r="F63" s="334">
        <v>3090660.9325999999</v>
      </c>
    </row>
    <row r="64" spans="1:6">
      <c r="A64" s="348" t="s">
        <v>56</v>
      </c>
      <c r="B64" s="348" t="s">
        <v>57</v>
      </c>
      <c r="C64" s="334">
        <v>0</v>
      </c>
      <c r="D64" s="334">
        <v>0</v>
      </c>
      <c r="E64" s="334">
        <v>0</v>
      </c>
      <c r="F64" s="334">
        <v>0</v>
      </c>
    </row>
    <row r="65" spans="1:6">
      <c r="A65" s="348" t="s">
        <v>56</v>
      </c>
      <c r="B65" s="348" t="s">
        <v>29</v>
      </c>
      <c r="C65" s="334">
        <v>1</v>
      </c>
      <c r="D65" s="334">
        <v>144998.66766000001</v>
      </c>
      <c r="E65" s="334">
        <v>1</v>
      </c>
      <c r="F65" s="334">
        <v>4123.1406221999996</v>
      </c>
    </row>
    <row r="66" spans="1:6">
      <c r="A66" s="348" t="s">
        <v>56</v>
      </c>
      <c r="B66" s="348" t="s">
        <v>58</v>
      </c>
      <c r="C66" s="334">
        <v>0</v>
      </c>
      <c r="D66" s="334">
        <v>0</v>
      </c>
      <c r="E66" s="334">
        <v>8</v>
      </c>
      <c r="F66" s="334">
        <v>283718</v>
      </c>
    </row>
    <row r="67" spans="1:6">
      <c r="A67" s="355" t="s">
        <v>56</v>
      </c>
      <c r="B67" s="355" t="s">
        <v>59</v>
      </c>
      <c r="C67" s="334">
        <v>0</v>
      </c>
      <c r="D67" s="334">
        <v>0</v>
      </c>
      <c r="E67" s="334">
        <v>0</v>
      </c>
      <c r="F67" s="334">
        <v>0</v>
      </c>
    </row>
    <row r="68" spans="1:6">
      <c r="A68" s="341" t="s">
        <v>56</v>
      </c>
      <c r="B68" s="341" t="s">
        <v>60</v>
      </c>
      <c r="C68" s="334">
        <v>5</v>
      </c>
      <c r="D68" s="334">
        <v>97932.268872000001</v>
      </c>
      <c r="E68" s="334">
        <v>5</v>
      </c>
      <c r="F68" s="334">
        <v>46964.419494000002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82062336</v>
      </c>
      <c r="E73" s="476">
        <v>84596391.079452053</v>
      </c>
    </row>
    <row r="74" spans="1:6">
      <c r="A74" s="348" t="s">
        <v>64</v>
      </c>
      <c r="B74" s="348" t="s">
        <v>667</v>
      </c>
      <c r="C74" s="1212" t="s">
        <v>669</v>
      </c>
      <c r="D74" s="476">
        <v>7308851.030368058</v>
      </c>
      <c r="E74" s="476">
        <v>7461205.86668735</v>
      </c>
    </row>
    <row r="75" spans="1:6">
      <c r="A75" s="348" t="s">
        <v>65</v>
      </c>
      <c r="B75" s="348" t="s">
        <v>666</v>
      </c>
      <c r="C75" s="1212" t="s">
        <v>670</v>
      </c>
      <c r="D75" s="476">
        <v>15235589</v>
      </c>
      <c r="E75" s="476">
        <v>15703896.260144724</v>
      </c>
    </row>
    <row r="76" spans="1:6">
      <c r="A76" s="348" t="s">
        <v>65</v>
      </c>
      <c r="B76" s="348" t="s">
        <v>667</v>
      </c>
      <c r="C76" s="1212" t="s">
        <v>671</v>
      </c>
      <c r="D76" s="476">
        <v>892939.03036805801</v>
      </c>
      <c r="E76" s="476">
        <v>919292.51005387306</v>
      </c>
    </row>
    <row r="77" spans="1:6">
      <c r="A77" s="348" t="s">
        <v>66</v>
      </c>
      <c r="B77" s="348" t="s">
        <v>666</v>
      </c>
      <c r="C77" s="1212" t="s">
        <v>672</v>
      </c>
      <c r="D77" s="476">
        <v>45794986</v>
      </c>
      <c r="E77" s="476">
        <v>49522253.834483288</v>
      </c>
    </row>
    <row r="78" spans="1:6">
      <c r="A78" s="341" t="s">
        <v>66</v>
      </c>
      <c r="B78" s="341" t="s">
        <v>667</v>
      </c>
      <c r="C78" s="341" t="s">
        <v>673</v>
      </c>
      <c r="D78" s="1213">
        <v>4987245</v>
      </c>
      <c r="E78" s="1213">
        <v>5337199.7854307061</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569855.93926388409</v>
      </c>
      <c r="C83" s="476">
        <v>569855.93926388409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1116.0514506389457</v>
      </c>
    </row>
    <row r="92" spans="1:6">
      <c r="A92" s="341" t="s">
        <v>69</v>
      </c>
      <c r="B92" s="342">
        <v>6200.05003255682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4674</v>
      </c>
    </row>
    <row r="98" spans="1:6">
      <c r="A98" s="348" t="s">
        <v>72</v>
      </c>
      <c r="B98" s="334">
        <v>13</v>
      </c>
    </row>
    <row r="99" spans="1:6">
      <c r="A99" s="348" t="s">
        <v>73</v>
      </c>
      <c r="B99" s="334">
        <v>21</v>
      </c>
    </row>
    <row r="100" spans="1:6">
      <c r="A100" s="348" t="s">
        <v>74</v>
      </c>
      <c r="B100" s="334">
        <v>762</v>
      </c>
    </row>
    <row r="101" spans="1:6">
      <c r="A101" s="348" t="s">
        <v>75</v>
      </c>
      <c r="B101" s="334">
        <v>30</v>
      </c>
    </row>
    <row r="102" spans="1:6">
      <c r="A102" s="348" t="s">
        <v>76</v>
      </c>
      <c r="B102" s="334">
        <v>150</v>
      </c>
    </row>
    <row r="103" spans="1:6">
      <c r="A103" s="348" t="s">
        <v>77</v>
      </c>
      <c r="B103" s="334">
        <v>71</v>
      </c>
    </row>
    <row r="104" spans="1:6">
      <c r="A104" s="348" t="s">
        <v>78</v>
      </c>
      <c r="B104" s="334">
        <v>811</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6</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30</v>
      </c>
    </row>
    <row r="130" spans="1:6">
      <c r="A130" s="348" t="s">
        <v>295</v>
      </c>
      <c r="B130" s="334">
        <v>1</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52941.890203396906</v>
      </c>
      <c r="C3" s="43" t="s">
        <v>170</v>
      </c>
      <c r="D3" s="43"/>
      <c r="E3" s="154"/>
      <c r="F3" s="43"/>
      <c r="G3" s="43"/>
      <c r="H3" s="43"/>
      <c r="I3" s="43"/>
      <c r="J3" s="43"/>
      <c r="K3" s="96"/>
    </row>
    <row r="4" spans="1:11">
      <c r="A4" s="383" t="s">
        <v>171</v>
      </c>
      <c r="B4" s="49">
        <f>IF(ISERROR('SEAP template'!B69),0,'SEAP template'!B69)</f>
        <v>7316.1014831957655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0.19045975254048406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1002.915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1002.915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0.19045975254048406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191.01494271913955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25420.306414999999</v>
      </c>
      <c r="C5" s="17">
        <f>IF(ISERROR('Eigen informatie GS &amp; warmtenet'!B57),0,'Eigen informatie GS &amp; warmtenet'!B57)</f>
        <v>0</v>
      </c>
      <c r="D5" s="30">
        <f>(SUM(HH_hh_gas_kWh,HH_rest_gas_kWh)/1000)*0.902</f>
        <v>74766.860971638002</v>
      </c>
      <c r="E5" s="17">
        <f>B46*B57</f>
        <v>717.42938546728408</v>
      </c>
      <c r="F5" s="17">
        <f>B51*B62</f>
        <v>0</v>
      </c>
      <c r="G5" s="18"/>
      <c r="H5" s="17"/>
      <c r="I5" s="17"/>
      <c r="J5" s="17">
        <f>B50*B61+C50*C61</f>
        <v>0</v>
      </c>
      <c r="K5" s="17"/>
      <c r="L5" s="17"/>
      <c r="M5" s="17"/>
      <c r="N5" s="17">
        <f>B48*B59+C48*C59</f>
        <v>2910.7811094626213</v>
      </c>
      <c r="O5" s="17">
        <f>B69*B70*B71</f>
        <v>64.096666666666678</v>
      </c>
      <c r="P5" s="17">
        <f>B77*B78*B79/1000-B77*B78*B79/1000/B80</f>
        <v>152.53333333333333</v>
      </c>
    </row>
    <row r="6" spans="1:16">
      <c r="A6" s="16" t="s">
        <v>624</v>
      </c>
      <c r="B6" s="843">
        <f>kWh_PV_kleiner_dan_10kW</f>
        <v>1116.0514506389457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26536.357865638944</v>
      </c>
      <c r="C8" s="21">
        <f>C5</f>
        <v>0</v>
      </c>
      <c r="D8" s="21">
        <f>D5</f>
        <v>74766.860971638002</v>
      </c>
      <c r="E8" s="21">
        <f>E5</f>
        <v>717.42938546728408</v>
      </c>
      <c r="F8" s="21">
        <f>F5</f>
        <v>0</v>
      </c>
      <c r="G8" s="21"/>
      <c r="H8" s="21"/>
      <c r="I8" s="21"/>
      <c r="J8" s="21">
        <f>J5</f>
        <v>0</v>
      </c>
      <c r="K8" s="21"/>
      <c r="L8" s="21">
        <f>L5</f>
        <v>0</v>
      </c>
      <c r="M8" s="21">
        <f>M5</f>
        <v>0</v>
      </c>
      <c r="N8" s="21">
        <f>N5</f>
        <v>2910.7811094626213</v>
      </c>
      <c r="O8" s="21">
        <f>O5</f>
        <v>64.096666666666678</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0.19045975254048406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5054.1081524153205</v>
      </c>
      <c r="C12" s="23">
        <f ca="1">C10*C8</f>
        <v>0</v>
      </c>
      <c r="D12" s="23">
        <f>D8*D10</f>
        <v>15102.905916270878</v>
      </c>
      <c r="E12" s="23">
        <f>E10*E8</f>
        <v>162.85647050107349</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4674</v>
      </c>
      <c r="C18" s="166" t="s">
        <v>111</v>
      </c>
      <c r="D18" s="228"/>
      <c r="E18" s="15"/>
    </row>
    <row r="19" spans="1:7">
      <c r="A19" s="171" t="s">
        <v>72</v>
      </c>
      <c r="B19" s="37">
        <f>aantalw2001_ander</f>
        <v>13</v>
      </c>
      <c r="C19" s="166" t="s">
        <v>111</v>
      </c>
      <c r="D19" s="229"/>
      <c r="E19" s="15"/>
    </row>
    <row r="20" spans="1:7">
      <c r="A20" s="171" t="s">
        <v>73</v>
      </c>
      <c r="B20" s="37">
        <f>aantalw2001_propaan</f>
        <v>21</v>
      </c>
      <c r="C20" s="167">
        <f>IF(ISERROR(B20/SUM($B$20,$B$21,$B$22)*100),0,B20/SUM($B$20,$B$21,$B$22)*100)</f>
        <v>2.5830258302583027</v>
      </c>
      <c r="D20" s="229"/>
      <c r="E20" s="15"/>
    </row>
    <row r="21" spans="1:7">
      <c r="A21" s="171" t="s">
        <v>74</v>
      </c>
      <c r="B21" s="37">
        <f>aantalw2001_elektriciteit</f>
        <v>762</v>
      </c>
      <c r="C21" s="167">
        <f>IF(ISERROR(B21/SUM($B$20,$B$21,$B$22)*100),0,B21/SUM($B$20,$B$21,$B$22)*100)</f>
        <v>93.726937269372684</v>
      </c>
      <c r="D21" s="229"/>
      <c r="E21" s="15"/>
    </row>
    <row r="22" spans="1:7">
      <c r="A22" s="171" t="s">
        <v>75</v>
      </c>
      <c r="B22" s="37">
        <f>aantalw2001_hout</f>
        <v>30</v>
      </c>
      <c r="C22" s="167">
        <f>IF(ISERROR(B22/SUM($B$20,$B$21,$B$22)*100),0,B22/SUM($B$20,$B$21,$B$22)*100)</f>
        <v>3.6900369003690034</v>
      </c>
      <c r="D22" s="229"/>
      <c r="E22" s="15"/>
    </row>
    <row r="23" spans="1:7">
      <c r="A23" s="171" t="s">
        <v>76</v>
      </c>
      <c r="B23" s="37">
        <f>aantalw2001_niet_gespec</f>
        <v>150</v>
      </c>
      <c r="C23" s="166" t="s">
        <v>111</v>
      </c>
      <c r="D23" s="228"/>
      <c r="E23" s="15"/>
    </row>
    <row r="24" spans="1:7">
      <c r="A24" s="171" t="s">
        <v>77</v>
      </c>
      <c r="B24" s="37">
        <f>aantalw2001_steenkool</f>
        <v>71</v>
      </c>
      <c r="C24" s="166" t="s">
        <v>111</v>
      </c>
      <c r="D24" s="229"/>
      <c r="E24" s="15"/>
    </row>
    <row r="25" spans="1:7">
      <c r="A25" s="171" t="s">
        <v>78</v>
      </c>
      <c r="B25" s="37">
        <f>aantalw2001_stookolie</f>
        <v>811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7370</v>
      </c>
      <c r="C28" s="36"/>
      <c r="D28" s="228"/>
    </row>
    <row r="29" spans="1:7" s="15" customFormat="1">
      <c r="A29" s="230" t="s">
        <v>699</v>
      </c>
      <c r="B29" s="37">
        <f>SUM(HH_hh_gas_aantal,HH_rest_gas_aantal)</f>
        <v>6134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6134</v>
      </c>
      <c r="C32" s="167">
        <f>IF(ISERROR(B32/SUM($B$32,$B$34,$B$35,$B$36,$B$38,$B$39)*100),0,B32/SUM($B$32,$B$34,$B$35,$B$36,$B$38,$B$39)*100)</f>
        <v>83.319750067916331</v>
      </c>
      <c r="D32" s="233"/>
      <c r="G32" s="15"/>
    </row>
    <row r="33" spans="1:7">
      <c r="A33" s="171" t="s">
        <v>72</v>
      </c>
      <c r="B33" s="34" t="s">
        <v>111</v>
      </c>
      <c r="C33" s="167"/>
      <c r="D33" s="233"/>
      <c r="G33" s="15"/>
    </row>
    <row r="34" spans="1:7">
      <c r="A34" s="171" t="s">
        <v>73</v>
      </c>
      <c r="B34" s="33">
        <f>IF((($B$28-$B$32-$B$39-$B$77-$B$38)*C20/100)&lt;0,0,($B$28-$B$32-$B$39-$B$77-$B$38)*C20/100)</f>
        <v>31.719557195571955</v>
      </c>
      <c r="C34" s="167">
        <f>IF(ISERROR(B34/SUM($B$32,$B$34,$B$35,$B$36,$B$38,$B$39)*100),0,B34/SUM($B$32,$B$34,$B$35,$B$36,$B$38,$B$39)*100)</f>
        <v>0.4308551642973642</v>
      </c>
      <c r="D34" s="233"/>
      <c r="G34" s="15"/>
    </row>
    <row r="35" spans="1:7">
      <c r="A35" s="171" t="s">
        <v>74</v>
      </c>
      <c r="B35" s="33">
        <f>IF((($B$28-$B$32-$B$39-$B$77-$B$38)*C21/100)&lt;0,0,($B$28-$B$32-$B$39-$B$77-$B$38)*C21/100)</f>
        <v>1150.9667896678966</v>
      </c>
      <c r="C35" s="167">
        <f>IF(ISERROR(B35/SUM($B$32,$B$34,$B$35,$B$36,$B$38,$B$39)*100),0,B35/SUM($B$32,$B$34,$B$35,$B$36,$B$38,$B$39)*100)</f>
        <v>15.633887390218645</v>
      </c>
      <c r="D35" s="233"/>
      <c r="G35" s="15"/>
    </row>
    <row r="36" spans="1:7">
      <c r="A36" s="171" t="s">
        <v>75</v>
      </c>
      <c r="B36" s="33">
        <f>IF((($B$28-$B$32-$B$39-$B$77-$B$38)*C22/100)&lt;0,0,($B$28-$B$32-$B$39-$B$77-$B$38)*C22/100)</f>
        <v>45.313653136531364</v>
      </c>
      <c r="C36" s="167">
        <f>IF(ISERROR(B36/SUM($B$32,$B$34,$B$35,$B$36,$B$38,$B$39)*100),0,B36/SUM($B$32,$B$34,$B$35,$B$36,$B$38,$B$39)*100)</f>
        <v>0.61550737756766316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6134</v>
      </c>
      <c r="C44" s="34" t="s">
        <v>111</v>
      </c>
      <c r="D44" s="174"/>
    </row>
    <row r="45" spans="1:7">
      <c r="A45" s="171" t="s">
        <v>72</v>
      </c>
      <c r="B45" s="33" t="str">
        <f t="shared" si="0"/>
        <v>-</v>
      </c>
      <c r="C45" s="34" t="s">
        <v>111</v>
      </c>
      <c r="D45" s="174"/>
    </row>
    <row r="46" spans="1:7">
      <c r="A46" s="171" t="s">
        <v>73</v>
      </c>
      <c r="B46" s="33">
        <f t="shared" si="0"/>
        <v>31.719557195571955</v>
      </c>
      <c r="C46" s="34" t="s">
        <v>111</v>
      </c>
      <c r="D46" s="174"/>
    </row>
    <row r="47" spans="1:7">
      <c r="A47" s="171" t="s">
        <v>74</v>
      </c>
      <c r="B47" s="33">
        <f t="shared" si="0"/>
        <v>1150.9667896678966</v>
      </c>
      <c r="C47" s="34" t="s">
        <v>111</v>
      </c>
      <c r="D47" s="174"/>
    </row>
    <row r="48" spans="1:7">
      <c r="A48" s="171" t="s">
        <v>75</v>
      </c>
      <c r="B48" s="33">
        <f t="shared" si="0"/>
        <v>45.313653136531364</v>
      </c>
      <c r="C48" s="33">
        <f>B48*10</f>
        <v>453.13653136531366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19237.197232630002</v>
      </c>
      <c r="C5" s="17">
        <f>IF(ISERROR('Eigen informatie GS &amp; warmtenet'!B58),0,'Eigen informatie GS &amp; warmtenet'!B58)</f>
        <v>0</v>
      </c>
      <c r="D5" s="30">
        <f>SUM(D6:D12)</f>
        <v>31150.392819833323</v>
      </c>
      <c r="E5" s="17">
        <f>SUM(E6:E12)</f>
        <v>385.29760090275329</v>
      </c>
      <c r="F5" s="17">
        <f>SUM(F6:F12)</f>
        <v>5188.5969168740285</v>
      </c>
      <c r="G5" s="18"/>
      <c r="H5" s="17"/>
      <c r="I5" s="17"/>
      <c r="J5" s="17">
        <f>SUM(J6:J12)</f>
        <v>0</v>
      </c>
      <c r="K5" s="17"/>
      <c r="L5" s="17"/>
      <c r="M5" s="17"/>
      <c r="N5" s="17">
        <f>SUM(N6:N12)</f>
        <v>1264.2646771861394</v>
      </c>
      <c r="O5" s="17">
        <f>B38*B39*B40</f>
        <v>1.5633333333333335</v>
      </c>
      <c r="P5" s="17">
        <f>B46*B47*B48/1000-B46*B47*B48/1000/B49</f>
        <v>0</v>
      </c>
      <c r="R5" s="32"/>
    </row>
    <row r="6" spans="1:18">
      <c r="A6" s="32" t="s">
        <v>54</v>
      </c>
      <c r="B6" s="37">
        <f>B26</f>
        <v>5200.6699911000005</v>
      </c>
      <c r="C6" s="33"/>
      <c r="D6" s="37">
        <f>IF(ISERROR(TER_kantoor_gas_kWh/1000),0,TER_kantoor_gas_kWh/1000)*0.902</f>
        <v>12112.559214074001</v>
      </c>
      <c r="E6" s="33">
        <f>$C$26*'E Balans VL '!I12/100/3.6*1000000</f>
        <v>68.083176479989262</v>
      </c>
      <c r="F6" s="33">
        <f>$C$26*('E Balans VL '!L12+'E Balans VL '!N12)/100/3.6*1000000</f>
        <v>1326.1171060143286</v>
      </c>
      <c r="G6" s="34"/>
      <c r="H6" s="33"/>
      <c r="I6" s="33"/>
      <c r="J6" s="33">
        <f>$C$26*('E Balans VL '!D12+'E Balans VL '!E12)/100/3.6*1000000</f>
        <v>0</v>
      </c>
      <c r="K6" s="33"/>
      <c r="L6" s="33"/>
      <c r="M6" s="33"/>
      <c r="N6" s="33">
        <f>$C$26*'E Balans VL '!Y12/100/3.6*1000000</f>
        <v>5.2181829687325338</v>
      </c>
      <c r="O6" s="33"/>
      <c r="P6" s="33"/>
      <c r="R6" s="32"/>
    </row>
    <row r="7" spans="1:18">
      <c r="A7" s="32" t="s">
        <v>53</v>
      </c>
      <c r="B7" s="37">
        <f t="shared" ref="B7:B12" si="0">B27</f>
        <v>2389.0816150000001</v>
      </c>
      <c r="C7" s="33"/>
      <c r="D7" s="37">
        <f>IF(ISERROR(TER_horeca_gas_kWh/1000),0,TER_horeca_gas_kWh/1000)*0.902</f>
        <v>4243.6782329941998</v>
      </c>
      <c r="E7" s="33">
        <f>$C$27*'E Balans VL '!I9/100/3.6*1000000</f>
        <v>79.064069160535496</v>
      </c>
      <c r="F7" s="33">
        <f>$C$27*('E Balans VL '!L9+'E Balans VL '!N9)/100/3.6*1000000</f>
        <v>1027.2959383801926</v>
      </c>
      <c r="G7" s="34"/>
      <c r="H7" s="33"/>
      <c r="I7" s="33"/>
      <c r="J7" s="33">
        <f>$C$27*('E Balans VL '!D9+'E Balans VL '!E9)/100/3.6*1000000</f>
        <v>0</v>
      </c>
      <c r="K7" s="33"/>
      <c r="L7" s="33"/>
      <c r="M7" s="33"/>
      <c r="N7" s="33">
        <f>$C$27*'E Balans VL '!Y9/100/3.6*1000000</f>
        <v>0.57508663800282001</v>
      </c>
      <c r="O7" s="33"/>
      <c r="P7" s="33"/>
      <c r="R7" s="32"/>
    </row>
    <row r="8" spans="1:18">
      <c r="A8" s="6" t="s">
        <v>52</v>
      </c>
      <c r="B8" s="37">
        <f t="shared" si="0"/>
        <v>5692.6968123000006</v>
      </c>
      <c r="C8" s="33"/>
      <c r="D8" s="37">
        <f>IF(ISERROR(TER_handel_gas_kWh/1000),0,TER_handel_gas_kWh/1000)*0.902</f>
        <v>4348.2660694506003</v>
      </c>
      <c r="E8" s="33">
        <f>$C$28*'E Balans VL '!I13/100/3.6*1000000</f>
        <v>179.67020957800199</v>
      </c>
      <c r="F8" s="33">
        <f>$C$28*('E Balans VL '!L13+'E Balans VL '!N13)/100/3.6*1000000</f>
        <v>1116.4380870593091</v>
      </c>
      <c r="G8" s="34"/>
      <c r="H8" s="33"/>
      <c r="I8" s="33"/>
      <c r="J8" s="33">
        <f>$C$28*('E Balans VL '!D13+'E Balans VL '!E13)/100/3.6*1000000</f>
        <v>0</v>
      </c>
      <c r="K8" s="33"/>
      <c r="L8" s="33"/>
      <c r="M8" s="33"/>
      <c r="N8" s="33">
        <f>$C$28*'E Balans VL '!Y13/100/3.6*1000000</f>
        <v>6.7561258926822303</v>
      </c>
      <c r="O8" s="33"/>
      <c r="P8" s="33"/>
      <c r="R8" s="32"/>
    </row>
    <row r="9" spans="1:18">
      <c r="A9" s="32" t="s">
        <v>51</v>
      </c>
      <c r="B9" s="37">
        <f t="shared" si="0"/>
        <v>405.46864533000002</v>
      </c>
      <c r="C9" s="33"/>
      <c r="D9" s="37">
        <f>IF(ISERROR(TER_gezond_gas_kWh/1000),0,TER_gezond_gas_kWh/1000)*0.902</f>
        <v>864.14359917952004</v>
      </c>
      <c r="E9" s="33">
        <f>$C$29*'E Balans VL '!I10/100/3.6*1000000</f>
        <v>5.1911848324269753E-2</v>
      </c>
      <c r="F9" s="33">
        <f>$C$29*('E Balans VL '!L10+'E Balans VL '!N10)/100/3.6*1000000</f>
        <v>84.476113570620996</v>
      </c>
      <c r="G9" s="34"/>
      <c r="H9" s="33"/>
      <c r="I9" s="33"/>
      <c r="J9" s="33">
        <f>$C$29*('E Balans VL '!D10+'E Balans VL '!E10)/100/3.6*1000000</f>
        <v>0</v>
      </c>
      <c r="K9" s="33"/>
      <c r="L9" s="33"/>
      <c r="M9" s="33"/>
      <c r="N9" s="33">
        <f>$C$29*'E Balans VL '!Y10/100/3.6*1000000</f>
        <v>4.7624208890780153</v>
      </c>
      <c r="O9" s="33"/>
      <c r="P9" s="33"/>
      <c r="R9" s="32"/>
    </row>
    <row r="10" spans="1:18">
      <c r="A10" s="32" t="s">
        <v>50</v>
      </c>
      <c r="B10" s="37">
        <f t="shared" si="0"/>
        <v>1233.3263365</v>
      </c>
      <c r="C10" s="33"/>
      <c r="D10" s="37">
        <f>IF(ISERROR(TER_ander_gas_kWh/1000),0,TER_ander_gas_kWh/1000)*0.902</f>
        <v>1986.9819267430003</v>
      </c>
      <c r="E10" s="33">
        <f>$C$30*'E Balans VL '!I14/100/3.6*1000000</f>
        <v>1.8546327741829793</v>
      </c>
      <c r="F10" s="33">
        <f>$C$30*('E Balans VL '!L14+'E Balans VL '!N14)/100/3.6*1000000</f>
        <v>272.27869932178885</v>
      </c>
      <c r="G10" s="34"/>
      <c r="H10" s="33"/>
      <c r="I10" s="33"/>
      <c r="J10" s="33">
        <f>$C$30*('E Balans VL '!D14+'E Balans VL '!E14)/100/3.6*1000000</f>
        <v>0</v>
      </c>
      <c r="K10" s="33"/>
      <c r="L10" s="33"/>
      <c r="M10" s="33"/>
      <c r="N10" s="33">
        <f>$C$30*'E Balans VL '!Y14/100/3.6*1000000</f>
        <v>971.94415289504514</v>
      </c>
      <c r="O10" s="33"/>
      <c r="P10" s="33"/>
      <c r="R10" s="32"/>
    </row>
    <row r="11" spans="1:18">
      <c r="A11" s="32" t="s">
        <v>55</v>
      </c>
      <c r="B11" s="37">
        <f t="shared" si="0"/>
        <v>1225.2928998</v>
      </c>
      <c r="C11" s="33"/>
      <c r="D11" s="37">
        <f>IF(ISERROR(TER_onderwijs_gas_kWh/1000),0,TER_onderwijs_gas_kWh/1000)*0.902</f>
        <v>3004.2041931968001</v>
      </c>
      <c r="E11" s="33">
        <f>$C$31*'E Balans VL '!I11/100/3.6*1000000</f>
        <v>2.1578434757378786</v>
      </c>
      <c r="F11" s="33">
        <f>$C$31*('E Balans VL '!L11+'E Balans VL '!N11)/100/3.6*1000000</f>
        <v>565.73990347601182</v>
      </c>
      <c r="G11" s="34"/>
      <c r="H11" s="33"/>
      <c r="I11" s="33"/>
      <c r="J11" s="33">
        <f>$C$31*('E Balans VL '!D11+'E Balans VL '!E11)/100/3.6*1000000</f>
        <v>0</v>
      </c>
      <c r="K11" s="33"/>
      <c r="L11" s="33"/>
      <c r="M11" s="33"/>
      <c r="N11" s="33">
        <f>$C$31*'E Balans VL '!Y11/100/3.6*1000000</f>
        <v>2.2827376166317679</v>
      </c>
      <c r="O11" s="33"/>
      <c r="P11" s="33"/>
      <c r="R11" s="32"/>
    </row>
    <row r="12" spans="1:18">
      <c r="A12" s="32" t="s">
        <v>260</v>
      </c>
      <c r="B12" s="37">
        <f t="shared" si="0"/>
        <v>3090.6609325999998</v>
      </c>
      <c r="C12" s="33"/>
      <c r="D12" s="37">
        <f>IF(ISERROR(TER_rest_gas_kWh/1000),0,TER_rest_gas_kWh/1000)*0.902</f>
        <v>4590.5595841951999</v>
      </c>
      <c r="E12" s="33">
        <f>$C$32*'E Balans VL '!I8/100/3.6*1000000</f>
        <v>54.415757585981417</v>
      </c>
      <c r="F12" s="33">
        <f>$C$32*('E Balans VL '!L8+'E Balans VL '!N8)/100/3.6*1000000</f>
        <v>796.25106905177688</v>
      </c>
      <c r="G12" s="34"/>
      <c r="H12" s="33"/>
      <c r="I12" s="33"/>
      <c r="J12" s="33">
        <f>$C$32*('E Balans VL '!D8+'E Balans VL '!E8)/100/3.6*1000000</f>
        <v>0</v>
      </c>
      <c r="K12" s="33"/>
      <c r="L12" s="33"/>
      <c r="M12" s="33"/>
      <c r="N12" s="33">
        <f>$C$32*'E Balans VL '!Y8/100/3.6*1000000</f>
        <v>272.72597028596698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19237.197232630002</v>
      </c>
      <c r="C16" s="21">
        <f t="shared" ca="1" si="1"/>
        <v>0</v>
      </c>
      <c r="D16" s="21">
        <f t="shared" ca="1" si="1"/>
        <v>31150.392819833323</v>
      </c>
      <c r="E16" s="21">
        <f t="shared" si="1"/>
        <v>385.29760090275329</v>
      </c>
      <c r="F16" s="21">
        <f t="shared" ca="1" si="1"/>
        <v>5188.5969168740285</v>
      </c>
      <c r="G16" s="21">
        <f t="shared" si="1"/>
        <v>0</v>
      </c>
      <c r="H16" s="21">
        <f t="shared" si="1"/>
        <v>0</v>
      </c>
      <c r="I16" s="21">
        <f t="shared" si="1"/>
        <v>0</v>
      </c>
      <c r="J16" s="21">
        <f t="shared" si="1"/>
        <v>0</v>
      </c>
      <c r="K16" s="21">
        <f t="shared" si="1"/>
        <v>0</v>
      </c>
      <c r="L16" s="21">
        <f t="shared" ca="1" si="1"/>
        <v>0</v>
      </c>
      <c r="M16" s="21">
        <f t="shared" si="1"/>
        <v>0</v>
      </c>
      <c r="N16" s="21">
        <f t="shared" ca="1" si="1"/>
        <v>1264.2646771861394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0.19045975254048406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3663.9118244991951</v>
      </c>
      <c r="C20" s="23">
        <f t="shared" ref="C20:P20" ca="1" si="2">C16*C18</f>
        <v>0</v>
      </c>
      <c r="D20" s="23">
        <f t="shared" ca="1" si="2"/>
        <v>6292.3793496063317</v>
      </c>
      <c r="E20" s="23">
        <f t="shared" si="2"/>
        <v>87.462555404924998</v>
      </c>
      <c r="F20" s="23">
        <f t="shared" ca="1" si="2"/>
        <v>1385.3553768053657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5200.6699911000005</v>
      </c>
      <c r="C26" s="39">
        <f>IF(ISERROR(B26*3.6/1000000/'E Balans VL '!Z12*100),0,B26*3.6/1000000/'E Balans VL '!Z12*100)</f>
        <v>0.11140239145255293</v>
      </c>
      <c r="D26" s="237" t="s">
        <v>660</v>
      </c>
      <c r="F26" s="6"/>
    </row>
    <row r="27" spans="1:18">
      <c r="A27" s="231" t="s">
        <v>53</v>
      </c>
      <c r="B27" s="33">
        <f>IF(ISERROR(TER_horeca_ele_kWh/1000),0,TER_horeca_ele_kWh/1000)</f>
        <v>2389.0816150000001</v>
      </c>
      <c r="C27" s="39">
        <f>IF(ISERROR(B27*3.6/1000000/'E Balans VL '!Z9*100),0,B27*3.6/1000000/'E Balans VL '!Z9*100)</f>
        <v>0.19171549524082027</v>
      </c>
      <c r="D27" s="237" t="s">
        <v>660</v>
      </c>
      <c r="F27" s="6"/>
    </row>
    <row r="28" spans="1:18">
      <c r="A28" s="171" t="s">
        <v>52</v>
      </c>
      <c r="B28" s="33">
        <f>IF(ISERROR(TER_handel_ele_kWh/1000),0,TER_handel_ele_kWh/1000)</f>
        <v>5692.6968123000006</v>
      </c>
      <c r="C28" s="39">
        <f>IF(ISERROR(B28*3.6/1000000/'E Balans VL '!Z13*100),0,B28*3.6/1000000/'E Balans VL '!Z13*100)</f>
        <v>0.16790190395631738</v>
      </c>
      <c r="D28" s="237" t="s">
        <v>660</v>
      </c>
      <c r="F28" s="6"/>
    </row>
    <row r="29" spans="1:18">
      <c r="A29" s="231" t="s">
        <v>51</v>
      </c>
      <c r="B29" s="33">
        <f>IF(ISERROR(TER_gezond_ele_kWh/1000),0,TER_gezond_ele_kWh/1000)</f>
        <v>405.46864533000002</v>
      </c>
      <c r="C29" s="39">
        <f>IF(ISERROR(B29*3.6/1000000/'E Balans VL '!Z10*100),0,B29*3.6/1000000/'E Balans VL '!Z10*100)</f>
        <v>4.3293180299202733E-2</v>
      </c>
      <c r="D29" s="237" t="s">
        <v>660</v>
      </c>
      <c r="F29" s="6"/>
    </row>
    <row r="30" spans="1:18">
      <c r="A30" s="231" t="s">
        <v>50</v>
      </c>
      <c r="B30" s="33">
        <f>IF(ISERROR(TER_ander_ele_kWh/1000),0,TER_ander_ele_kWh/1000)</f>
        <v>1233.3263365</v>
      </c>
      <c r="C30" s="39">
        <f>IF(ISERROR(B30*3.6/1000000/'E Balans VL '!Z14*100),0,B30*3.6/1000000/'E Balans VL '!Z14*100)</f>
        <v>9.315798127301482E-2</v>
      </c>
      <c r="D30" s="237" t="s">
        <v>660</v>
      </c>
      <c r="F30" s="6"/>
    </row>
    <row r="31" spans="1:18">
      <c r="A31" s="231" t="s">
        <v>55</v>
      </c>
      <c r="B31" s="33">
        <f>IF(ISERROR(TER_onderwijs_ele_kWh/1000),0,TER_onderwijs_ele_kWh/1000)</f>
        <v>1225.2928998</v>
      </c>
      <c r="C31" s="39">
        <f>IF(ISERROR(B31*3.6/1000000/'E Balans VL '!Z11*100),0,B31*3.6/1000000/'E Balans VL '!Z11*100)</f>
        <v>0.24742753990657815</v>
      </c>
      <c r="D31" s="237" t="s">
        <v>660</v>
      </c>
    </row>
    <row r="32" spans="1:18">
      <c r="A32" s="231" t="s">
        <v>260</v>
      </c>
      <c r="B32" s="33">
        <f>IF(ISERROR(TER_rest_ele_kWh/1000),0,TER_rest_ele_kWh/1000)</f>
        <v>3090.6609325999998</v>
      </c>
      <c r="C32" s="39">
        <f>IF(ISERROR(B32*3.6/1000000/'E Balans VL '!Z8*100),0,B32*3.6/1000000/'E Balans VL '!Z8*100)</f>
        <v>2.5625882845555132E-2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6094.1135739299998</v>
      </c>
      <c r="C5" s="17">
        <f>IF(ISERROR('Eigen informatie GS &amp; warmtenet'!B59),0,'Eigen informatie GS &amp; warmtenet'!B59)</f>
        <v>0</v>
      </c>
      <c r="D5" s="30">
        <f>SUM(D6:D15)</f>
        <v>4155.5400510408399</v>
      </c>
      <c r="E5" s="17">
        <f>SUM(E6:E15)</f>
        <v>441.10745675593307</v>
      </c>
      <c r="F5" s="17">
        <f>SUM(F6:F15)</f>
        <v>1935.3383259810819</v>
      </c>
      <c r="G5" s="18"/>
      <c r="H5" s="17"/>
      <c r="I5" s="17"/>
      <c r="J5" s="17">
        <f>SUM(J6:J15)</f>
        <v>34.781040230221009</v>
      </c>
      <c r="K5" s="17"/>
      <c r="L5" s="17"/>
      <c r="M5" s="17"/>
      <c r="N5" s="17">
        <f>SUM(N6:N15)</f>
        <v>1241.4280663156262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791.70873419999998</v>
      </c>
      <c r="C8" s="33"/>
      <c r="D8" s="37">
        <f>IF( ISERROR(IND_metaal_Gas_kWH/1000),0,IND_metaal_Gas_kWH/1000)*0.902</f>
        <v>276.74803362360007</v>
      </c>
      <c r="E8" s="33">
        <f>C30*'E Balans VL '!I18/100/3.6*1000000</f>
        <v>28.48807533779474</v>
      </c>
      <c r="F8" s="33">
        <f>C30*'E Balans VL '!L18/100/3.6*1000000+C30*'E Balans VL '!N18/100/3.6*1000000</f>
        <v>345.71353978921053</v>
      </c>
      <c r="G8" s="34"/>
      <c r="H8" s="33"/>
      <c r="I8" s="33"/>
      <c r="J8" s="40">
        <f>C30*'E Balans VL '!D18/100/3.6*1000000+C30*'E Balans VL '!E18/100/3.6*1000000</f>
        <v>0</v>
      </c>
      <c r="K8" s="33"/>
      <c r="L8" s="33"/>
      <c r="M8" s="33"/>
      <c r="N8" s="33">
        <f>C30*'E Balans VL '!Y18/100/3.6*1000000</f>
        <v>39.679903735010392</v>
      </c>
      <c r="O8" s="33"/>
      <c r="P8" s="33"/>
      <c r="R8" s="32"/>
    </row>
    <row r="9" spans="1:18">
      <c r="A9" s="6" t="s">
        <v>33</v>
      </c>
      <c r="B9" s="37">
        <f t="shared" si="0"/>
        <v>670.47899343999995</v>
      </c>
      <c r="C9" s="33"/>
      <c r="D9" s="37">
        <f>IF( ISERROR(IND_andere_gas_kWh/1000),0,IND_andere_gas_kWh/1000)*0.902</f>
        <v>1147.1558111398001</v>
      </c>
      <c r="E9" s="33">
        <f>C31*'E Balans VL '!I19/100/3.6*1000000</f>
        <v>171.09106911376517</v>
      </c>
      <c r="F9" s="33">
        <f>C31*'E Balans VL '!L19/100/3.6*1000000+C31*'E Balans VL '!N19/100/3.6*1000000</f>
        <v>577.23201819149745</v>
      </c>
      <c r="G9" s="34"/>
      <c r="H9" s="33"/>
      <c r="I9" s="33"/>
      <c r="J9" s="40">
        <f>C31*'E Balans VL '!D19/100/3.6*1000000+C31*'E Balans VL '!E19/100/3.6*1000000</f>
        <v>0</v>
      </c>
      <c r="K9" s="33"/>
      <c r="L9" s="33"/>
      <c r="M9" s="33"/>
      <c r="N9" s="33">
        <f>C31*'E Balans VL '!Y19/100/3.6*1000000</f>
        <v>209.68174275614155</v>
      </c>
      <c r="O9" s="33"/>
      <c r="P9" s="33"/>
      <c r="R9" s="32"/>
    </row>
    <row r="10" spans="1:18">
      <c r="A10" s="6" t="s">
        <v>41</v>
      </c>
      <c r="B10" s="37">
        <f t="shared" si="0"/>
        <v>341.73903308999996</v>
      </c>
      <c r="C10" s="33"/>
      <c r="D10" s="37">
        <f>IF( ISERROR(IND_voed_gas_kWh/1000),0,IND_voed_gas_kWh/1000)*0.902</f>
        <v>394.55004381804002</v>
      </c>
      <c r="E10" s="33">
        <f>C32*'E Balans VL '!I20/100/3.6*1000000</f>
        <v>8.6874754672941616</v>
      </c>
      <c r="F10" s="33">
        <f>C32*'E Balans VL '!L20/100/3.6*1000000+C32*'E Balans VL '!N20/100/3.6*1000000</f>
        <v>77.330413242973549</v>
      </c>
      <c r="G10" s="34"/>
      <c r="H10" s="33"/>
      <c r="I10" s="33"/>
      <c r="J10" s="40">
        <f>C32*'E Balans VL '!D20/100/3.6*1000000+C32*'E Balans VL '!E20/100/3.6*1000000</f>
        <v>0</v>
      </c>
      <c r="K10" s="33"/>
      <c r="L10" s="33"/>
      <c r="M10" s="33"/>
      <c r="N10" s="33">
        <f>C32*'E Balans VL '!Y20/100/3.6*1000000</f>
        <v>128.16140060959751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4290.1868132</v>
      </c>
      <c r="C15" s="33"/>
      <c r="D15" s="37">
        <f>IF( ISERROR(IND_rest_gas_kWh/1000),0,IND_rest_gas_kWh/1000)*0.902</f>
        <v>2337.0861624593999</v>
      </c>
      <c r="E15" s="33">
        <f>C37*'E Balans VL '!I15/100/3.6*1000000</f>
        <v>232.84083683707902</v>
      </c>
      <c r="F15" s="33">
        <f>C37*'E Balans VL '!L15/100/3.6*1000000+C37*'E Balans VL '!N15/100/3.6*1000000</f>
        <v>935.06235475740039</v>
      </c>
      <c r="G15" s="34"/>
      <c r="H15" s="33"/>
      <c r="I15" s="33"/>
      <c r="J15" s="40">
        <f>C37*'E Balans VL '!D15/100/3.6*1000000+C37*'E Balans VL '!E15/100/3.6*1000000</f>
        <v>34.781040230221009</v>
      </c>
      <c r="K15" s="33"/>
      <c r="L15" s="33"/>
      <c r="M15" s="33"/>
      <c r="N15" s="33">
        <f>C37*'E Balans VL '!Y15/100/3.6*1000000</f>
        <v>863.9050192148768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6094.1135739299998</v>
      </c>
      <c r="C18" s="21">
        <f>C5+C16</f>
        <v>0</v>
      </c>
      <c r="D18" s="21">
        <f>MAX((D5+D16),0)</f>
        <v>4155.5400510408399</v>
      </c>
      <c r="E18" s="21">
        <f>MAX((E5+E16),0)</f>
        <v>441.10745675593307</v>
      </c>
      <c r="F18" s="21">
        <f>MAX((F5+F16),0)</f>
        <v>1935.3383259810819</v>
      </c>
      <c r="G18" s="21"/>
      <c r="H18" s="21"/>
      <c r="I18" s="21"/>
      <c r="J18" s="21">
        <f>MAX((J5+J16),0)</f>
        <v>34.781040230221009</v>
      </c>
      <c r="K18" s="21"/>
      <c r="L18" s="21">
        <f>MAX((L5+L16),0)</f>
        <v>0</v>
      </c>
      <c r="M18" s="21"/>
      <c r="N18" s="21">
        <f>MAX((N5+N16),0)</f>
        <v>1241.4280663156262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0.19045975254048406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1160.6833632443127</v>
      </c>
      <c r="C22" s="23">
        <f ca="1">C18*C20</f>
        <v>0</v>
      </c>
      <c r="D22" s="23">
        <f>D18*D20</f>
        <v>839.41909031024966</v>
      </c>
      <c r="E22" s="23">
        <f>E18*E20</f>
        <v>100.13139268359681</v>
      </c>
      <c r="F22" s="23">
        <f>F18*F20</f>
        <v>516.73533303694887</v>
      </c>
      <c r="G22" s="23"/>
      <c r="H22" s="23"/>
      <c r="I22" s="23"/>
      <c r="J22" s="23">
        <f>J18*J20</f>
        <v>12.312488241498237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791.70873419999998</v>
      </c>
      <c r="C30" s="39">
        <f>IF(ISERROR(B30*3.6/1000000/'E Balans VL '!Z18*100),0,B30*3.6/1000000/'E Balans VL '!Z18*100)</f>
        <v>0.16774610698907214</v>
      </c>
      <c r="D30" s="237" t="s">
        <v>660</v>
      </c>
    </row>
    <row r="31" spans="1:18">
      <c r="A31" s="6" t="s">
        <v>33</v>
      </c>
      <c r="B31" s="37">
        <f>IF( ISERROR(IND_ander_ele_kWh/1000),0,IND_ander_ele_kWh/1000)</f>
        <v>670.47899343999995</v>
      </c>
      <c r="C31" s="39">
        <f>IF(ISERROR(B31*3.6/1000000/'E Balans VL '!Z19*100),0,B31*3.6/1000000/'E Balans VL '!Z19*100)</f>
        <v>2.8221983267164557E-2</v>
      </c>
      <c r="D31" s="237" t="s">
        <v>660</v>
      </c>
    </row>
    <row r="32" spans="1:18">
      <c r="A32" s="171" t="s">
        <v>41</v>
      </c>
      <c r="B32" s="37">
        <f>IF( ISERROR(IND_voed_ele_kWh/1000),0,IND_voed_ele_kWh/1000)</f>
        <v>341.73903308999996</v>
      </c>
      <c r="C32" s="39">
        <f>IF(ISERROR(B32*3.6/1000000/'E Balans VL '!Z20*100),0,B32*3.6/1000000/'E Balans VL '!Z20*100)</f>
        <v>5.7091371988918144E-2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4290.1868132</v>
      </c>
      <c r="C37" s="39">
        <f>IF(ISERROR(B37*3.6/1000000/'E Balans VL '!Z15*100),0,B37*3.6/1000000/'E Balans VL '!Z15*100)</f>
        <v>3.4636339379438365E-2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37.774819169100006</v>
      </c>
      <c r="C5" s="17">
        <f>'Eigen informatie GS &amp; warmtenet'!B60</f>
        <v>0</v>
      </c>
      <c r="D5" s="30">
        <f>IF(ISERROR(SUM(LB_lb_gas_kWh,LB_rest_gas_kWh,onbekend_gas_kWh)/1000),0,SUM(LB_lb_gas_kWh,LB_rest_gas_kWh,onbekend_gas_kWh)/1000)*0.902</f>
        <v>3509.6943345189661</v>
      </c>
      <c r="E5" s="17">
        <f>B17*'E Balans VL '!I25/3.6*1000000/100</f>
        <v>0.97406754783407479</v>
      </c>
      <c r="F5" s="17">
        <f>B17*('E Balans VL '!L25/3.6*1000000+'E Balans VL '!N25/3.6*1000000)/100</f>
        <v>138.07415792791389</v>
      </c>
      <c r="G5" s="18"/>
      <c r="H5" s="17"/>
      <c r="I5" s="17"/>
      <c r="J5" s="17">
        <f>('E Balans VL '!D25+'E Balans VL '!E25)/3.6*1000000*landbouw!B17/100</f>
        <v>5.4381843510315901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37.774819169100006</v>
      </c>
      <c r="C8" s="21">
        <f>C5+C6</f>
        <v>0</v>
      </c>
      <c r="D8" s="21">
        <f>MAX((D5+D6),0)</f>
        <v>3509.6943345189661</v>
      </c>
      <c r="E8" s="21">
        <f>MAX((E5+E6),0)</f>
        <v>0.97406754783407479</v>
      </c>
      <c r="F8" s="21">
        <f>MAX((F5+F6),0)</f>
        <v>138.07415792791389</v>
      </c>
      <c r="G8" s="21"/>
      <c r="H8" s="21"/>
      <c r="I8" s="21"/>
      <c r="J8" s="21">
        <f>MAX((J5+J6),0)</f>
        <v>5.4381843510315901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0.19045975254048406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7.1945827112083203</v>
      </c>
      <c r="C12" s="23">
        <f ca="1">C8*C10</f>
        <v>0</v>
      </c>
      <c r="D12" s="23">
        <f>D8*D10</f>
        <v>708.95825557283115</v>
      </c>
      <c r="E12" s="23">
        <f>E8*E10</f>
        <v>0.221113333358335</v>
      </c>
      <c r="F12" s="23">
        <f>F8*F10</f>
        <v>36.865800166753012</v>
      </c>
      <c r="G12" s="23"/>
      <c r="H12" s="23"/>
      <c r="I12" s="23"/>
      <c r="J12" s="23">
        <f>J8*J10</f>
        <v>1.9251172602651827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5.3264997176347417E-3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0.874</v>
      </c>
      <c r="C26" s="247">
        <f>B26*'GWP N2O_CH4'!B5</f>
        <v>18.353999999999999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7.468000000000001E-2</v>
      </c>
      <c r="C27" s="247">
        <f>B27*'GWP N2O_CH4'!B5</f>
        <v>1.5682800000000001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5.0545604251087282E-3</v>
      </c>
      <c r="C28" s="247">
        <f>B28*'GWP N2O_CH4'!B4</f>
        <v>1.5669137317837059</v>
      </c>
      <c r="D28" s="50"/>
    </row>
    <row r="29" spans="1:4">
      <c r="A29" s="41" t="s">
        <v>277</v>
      </c>
      <c r="B29" s="247">
        <f>B34*'ha_N2O bodem landbouw'!B4</f>
        <v>0.31850705213414293</v>
      </c>
      <c r="C29" s="247">
        <f>B29*'GWP N2O_CH4'!B4</f>
        <v>98.737186161584305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7.1681394906879516E-5</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1.2071416330389732E-4</v>
      </c>
      <c r="C5" s="463" t="s">
        <v>211</v>
      </c>
      <c r="D5" s="448">
        <f>SUM(D6:D11)</f>
        <v>2.6313812381267615E-4</v>
      </c>
      <c r="E5" s="448">
        <f>SUM(E6:E11)</f>
        <v>1.0999832046828827E-3</v>
      </c>
      <c r="F5" s="461" t="s">
        <v>211</v>
      </c>
      <c r="G5" s="448">
        <f>SUM(G6:G11)</f>
        <v>0.37578895414759794</v>
      </c>
      <c r="H5" s="448">
        <f>SUM(H6:H11)</f>
        <v>7.1820632600926165E-2</v>
      </c>
      <c r="I5" s="463" t="s">
        <v>211</v>
      </c>
      <c r="J5" s="463" t="s">
        <v>211</v>
      </c>
      <c r="K5" s="463" t="s">
        <v>211</v>
      </c>
      <c r="L5" s="463" t="s">
        <v>211</v>
      </c>
      <c r="M5" s="448">
        <f>SUM(M6:M11)</f>
        <v>1.3991026350847478E-2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6.9228350725238181E-5</v>
      </c>
      <c r="C6" s="449"/>
      <c r="D6" s="962">
        <f>vkm_2011_GW_PW*SUMIFS(TableVerdeelsleutelVkm[CNG],TableVerdeelsleutelVkm[Voertuigtype],"Lichte voertuigen")*SUMIFS(TableECFTransport[EnergieConsumptieFactor (PJ per km)],TableECFTransport[Index],CONCATENATE($A6,"_CNG_CNG"))</f>
        <v>1.3755794553183944E-4</v>
      </c>
      <c r="E6" s="962">
        <f>vkm_2011_GW_PW*SUMIFS(TableVerdeelsleutelVkm[LPG],TableVerdeelsleutelVkm[Voertuigtype],"Lichte voertuigen")*SUMIFS(TableECFTransport[EnergieConsumptieFactor (PJ per km)],TableECFTransport[Index],CONCATENATE($A6,"_LPG_LPG"))</f>
        <v>5.4133982649470162E-4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0.12871203628788516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3.7241074194770296E-2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5.1712521659823523E-3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7.0034855420385095E-2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2.2624249735126434E-5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2.2066911356402805E-3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1.2852847605966041E-5</v>
      </c>
      <c r="C8" s="449"/>
      <c r="D8" s="451">
        <f>vkm_2011_NGW_PW*SUMIFS(TableVerdeelsleutelVkm[CNG],TableVerdeelsleutelVkm[Voertuigtype],"Lichte voertuigen")*SUMIFS(TableECFTransport[EnergieConsumptieFactor (PJ per km)],TableECFTransport[Index],CONCATENATE($A8,"_CNG_CNG"))</f>
        <v>4.5219957509336015E-5</v>
      </c>
      <c r="E8" s="451">
        <f>vkm_2011_NGW_PW*SUMIFS(TableVerdeelsleutelVkm[LPG],TableVerdeelsleutelVkm[Voertuigtype],"Lichte voertuigen")*SUMIFS(TableECFTransport[EnergieConsumptieFactor (PJ per km)],TableECFTransport[Index],CONCATENATE($A8,"_LPG_LPG"))</f>
        <v>1.6457854852995672E-4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3.6541064245088975E-2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1.1870901017010301E-2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1.5070455877736529E-3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1.0921307604645256E-2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3.3365520761368875E-6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3.44107948585224E-4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3.8632964972693106E-5</v>
      </c>
      <c r="C10" s="449"/>
      <c r="D10" s="451">
        <f>vkm_2011_SW_PW*SUMIFS(TableVerdeelsleutelVkm[CNG],TableVerdeelsleutelVkm[Voertuigtype],"Lichte voertuigen")*SUMIFS(TableECFTransport[EnergieConsumptieFactor (PJ per km)],TableECFTransport[Index],CONCATENATE($A10,"_CNG_CNG"))</f>
        <v>8.0360220771500714E-5</v>
      </c>
      <c r="E10" s="451">
        <f>vkm_2011_SW_PW*SUMIFS(TableVerdeelsleutelVkm[LPG],TableVerdeelsleutelVkm[Voertuigtype],"Lichte voertuigen")*SUMIFS(TableECFTransport[EnergieConsumptieFactor (PJ per km)],TableECFTransport[Index],CONCATENATE($A10,"_LPG_LPG"))</f>
        <v>3.9406482965822435E-4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8.3931284213098173E-2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2.2666808271941331E-2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3.3235838233024975E-3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4.5648406376495254E-2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1.588831539298289E-5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1.4383456895634716E-3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33.531712028860369</v>
      </c>
      <c r="C14" s="21"/>
      <c r="D14" s="21">
        <f t="shared" ref="D14:M14" si="0">((D5)*10^9/3600)+D12</f>
        <v>73.093923281298942</v>
      </c>
      <c r="E14" s="21">
        <f t="shared" si="0"/>
        <v>305.5508901896896</v>
      </c>
      <c r="F14" s="21"/>
      <c r="G14" s="21">
        <f t="shared" si="0"/>
        <v>104385.82059655499</v>
      </c>
      <c r="H14" s="21">
        <f t="shared" si="0"/>
        <v>19950.175722479489</v>
      </c>
      <c r="I14" s="21"/>
      <c r="J14" s="21"/>
      <c r="K14" s="21"/>
      <c r="L14" s="21"/>
      <c r="M14" s="21">
        <f t="shared" si="0"/>
        <v>3886.3962085687435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0.19045975254048406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6.3864415752755184</v>
      </c>
      <c r="C18" s="23"/>
      <c r="D18" s="23">
        <f t="shared" ref="D18:M18" si="1">D14*D16</f>
        <v>14.764972502822387</v>
      </c>
      <c r="E18" s="23">
        <f t="shared" si="1"/>
        <v>69.360052073059535</v>
      </c>
      <c r="F18" s="23"/>
      <c r="G18" s="23">
        <f t="shared" si="1"/>
        <v>27871.014099280183</v>
      </c>
      <c r="H18" s="23">
        <f t="shared" si="1"/>
        <v>4967.5937548973925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7.4082813504618124E-3</v>
      </c>
      <c r="H50" s="321">
        <f t="shared" si="2"/>
        <v>0</v>
      </c>
      <c r="I50" s="321">
        <f t="shared" si="2"/>
        <v>0</v>
      </c>
      <c r="J50" s="321">
        <f t="shared" si="2"/>
        <v>0</v>
      </c>
      <c r="K50" s="321">
        <f t="shared" si="2"/>
        <v>0</v>
      </c>
      <c r="L50" s="321">
        <f t="shared" si="2"/>
        <v>0</v>
      </c>
      <c r="M50" s="321">
        <f t="shared" si="2"/>
        <v>2.2978831381698431E-4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7.4082813504618124E-3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2.2978831381698431E-4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2057.855930683837</v>
      </c>
      <c r="H54" s="21">
        <f t="shared" si="3"/>
        <v>0</v>
      </c>
      <c r="I54" s="21">
        <f t="shared" si="3"/>
        <v>0</v>
      </c>
      <c r="J54" s="21">
        <f t="shared" si="3"/>
        <v>0</v>
      </c>
      <c r="K54" s="21">
        <f t="shared" si="3"/>
        <v>0</v>
      </c>
      <c r="L54" s="21">
        <f t="shared" si="3"/>
        <v>0</v>
      </c>
      <c r="M54" s="21">
        <f t="shared" si="3"/>
        <v>63.830087171384527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0.19045975254048406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549.44753349258451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7316.1014831957655</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7316.1014831957655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20240.112232630003</v>
      </c>
      <c r="D10" s="718">
        <f ca="1">tertiair!C16</f>
        <v>0</v>
      </c>
      <c r="E10" s="718">
        <f ca="1">tertiair!D16</f>
        <v>31150.392819833323</v>
      </c>
      <c r="F10" s="718">
        <f>tertiair!E16</f>
        <v>385.29760090275329</v>
      </c>
      <c r="G10" s="718">
        <f ca="1">tertiair!F16</f>
        <v>5188.5969168740285</v>
      </c>
      <c r="H10" s="718">
        <f>tertiair!G16</f>
        <v>0</v>
      </c>
      <c r="I10" s="718">
        <f>tertiair!H16</f>
        <v>0</v>
      </c>
      <c r="J10" s="718">
        <f>tertiair!I16</f>
        <v>0</v>
      </c>
      <c r="K10" s="718">
        <f>tertiair!J16</f>
        <v>0</v>
      </c>
      <c r="L10" s="718">
        <f>tertiair!K16</f>
        <v>0</v>
      </c>
      <c r="M10" s="718">
        <f ca="1">tertiair!L16</f>
        <v>0</v>
      </c>
      <c r="N10" s="718">
        <f>tertiair!M16</f>
        <v>0</v>
      </c>
      <c r="O10" s="718">
        <f ca="1">tertiair!N16</f>
        <v>1264.2646771861394</v>
      </c>
      <c r="P10" s="718">
        <f>tertiair!O16</f>
        <v>1.5633333333333335</v>
      </c>
      <c r="Q10" s="719">
        <f>tertiair!P16</f>
        <v>0</v>
      </c>
      <c r="R10" s="721">
        <f ca="1">SUM(C10:Q10)</f>
        <v>58230.22758075958</v>
      </c>
      <c r="S10" s="67"/>
    </row>
    <row r="11" spans="1:19" s="474" customFormat="1">
      <c r="A11" s="870" t="s">
        <v>225</v>
      </c>
      <c r="B11" s="875"/>
      <c r="C11" s="718">
        <f>huishoudens!B8</f>
        <v>26536.357865638944</v>
      </c>
      <c r="D11" s="718">
        <f>huishoudens!C8</f>
        <v>0</v>
      </c>
      <c r="E11" s="718">
        <f>huishoudens!D8</f>
        <v>74766.860971638002</v>
      </c>
      <c r="F11" s="718">
        <f>huishoudens!E8</f>
        <v>717.42938546728408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2910.7811094626213</v>
      </c>
      <c r="P11" s="718">
        <f>huishoudens!O8</f>
        <v>64.096666666666678</v>
      </c>
      <c r="Q11" s="719">
        <f>huishoudens!P8</f>
        <v>152.53333333333333</v>
      </c>
      <c r="R11" s="721">
        <f>SUM(C11:Q11)</f>
        <v>105148.05933220686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6094.1135739299998</v>
      </c>
      <c r="D13" s="718">
        <f>industrie!C18</f>
        <v>0</v>
      </c>
      <c r="E13" s="718">
        <f>industrie!D18</f>
        <v>4155.5400510408399</v>
      </c>
      <c r="F13" s="718">
        <f>industrie!E18</f>
        <v>441.10745675593307</v>
      </c>
      <c r="G13" s="718">
        <f>industrie!F18</f>
        <v>1935.3383259810819</v>
      </c>
      <c r="H13" s="718">
        <f>industrie!G18</f>
        <v>0</v>
      </c>
      <c r="I13" s="718">
        <f>industrie!H18</f>
        <v>0</v>
      </c>
      <c r="J13" s="718">
        <f>industrie!I18</f>
        <v>0</v>
      </c>
      <c r="K13" s="718">
        <f>industrie!J18</f>
        <v>34.781040230221009</v>
      </c>
      <c r="L13" s="718">
        <f>industrie!K18</f>
        <v>0</v>
      </c>
      <c r="M13" s="718">
        <f>industrie!L18</f>
        <v>0</v>
      </c>
      <c r="N13" s="718">
        <f>industrie!M18</f>
        <v>0</v>
      </c>
      <c r="O13" s="718">
        <f>industrie!N18</f>
        <v>1241.4280663156262</v>
      </c>
      <c r="P13" s="718">
        <f>industrie!O18</f>
        <v>0</v>
      </c>
      <c r="Q13" s="719">
        <f>industrie!P18</f>
        <v>0</v>
      </c>
      <c r="R13" s="721">
        <f>SUM(C13:Q13)</f>
        <v>13902.308514253702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52870.583672198947</v>
      </c>
      <c r="D15" s="723">
        <f t="shared" ref="D15:Q15" ca="1" si="0">SUM(D9:D14)</f>
        <v>0</v>
      </c>
      <c r="E15" s="723">
        <f t="shared" ca="1" si="0"/>
        <v>110072.79384251217</v>
      </c>
      <c r="F15" s="723">
        <f t="shared" si="0"/>
        <v>1543.8344431259704</v>
      </c>
      <c r="G15" s="723">
        <f t="shared" ca="1" si="0"/>
        <v>7123.9352428551101</v>
      </c>
      <c r="H15" s="723">
        <f t="shared" si="0"/>
        <v>0</v>
      </c>
      <c r="I15" s="723">
        <f t="shared" si="0"/>
        <v>0</v>
      </c>
      <c r="J15" s="723">
        <f t="shared" si="0"/>
        <v>0</v>
      </c>
      <c r="K15" s="723">
        <f t="shared" si="0"/>
        <v>34.781040230221009</v>
      </c>
      <c r="L15" s="723">
        <f t="shared" si="0"/>
        <v>0</v>
      </c>
      <c r="M15" s="723">
        <f t="shared" ca="1" si="0"/>
        <v>0</v>
      </c>
      <c r="N15" s="723">
        <f t="shared" si="0"/>
        <v>0</v>
      </c>
      <c r="O15" s="723">
        <f t="shared" ca="1" si="0"/>
        <v>5416.4738529643864</v>
      </c>
      <c r="P15" s="723">
        <f t="shared" si="0"/>
        <v>65.660000000000011</v>
      </c>
      <c r="Q15" s="724">
        <f t="shared" si="0"/>
        <v>152.53333333333333</v>
      </c>
      <c r="R15" s="725">
        <f ca="1">SUM(R9:R14)</f>
        <v>177280.59542722013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2057.855930683837</v>
      </c>
      <c r="I18" s="718">
        <f>transport!H54</f>
        <v>0</v>
      </c>
      <c r="J18" s="718">
        <f>transport!I54</f>
        <v>0</v>
      </c>
      <c r="K18" s="718">
        <f>transport!J54</f>
        <v>0</v>
      </c>
      <c r="L18" s="718">
        <f>transport!K54</f>
        <v>0</v>
      </c>
      <c r="M18" s="718">
        <f>transport!L54</f>
        <v>0</v>
      </c>
      <c r="N18" s="718">
        <f>transport!M54</f>
        <v>63.830087171384527</v>
      </c>
      <c r="O18" s="718">
        <f>transport!N54</f>
        <v>0</v>
      </c>
      <c r="P18" s="718">
        <f>transport!O54</f>
        <v>0</v>
      </c>
      <c r="Q18" s="719">
        <f>transport!P54</f>
        <v>0</v>
      </c>
      <c r="R18" s="721">
        <f>SUM(C18:Q18)</f>
        <v>2121.6860178552215</v>
      </c>
      <c r="S18" s="67"/>
    </row>
    <row r="19" spans="1:19" s="474" customFormat="1" ht="15" thickBot="1">
      <c r="A19" s="870" t="s">
        <v>307</v>
      </c>
      <c r="B19" s="875"/>
      <c r="C19" s="727">
        <f>transport!B14</f>
        <v>33.531712028860369</v>
      </c>
      <c r="D19" s="727">
        <f>transport!C14</f>
        <v>0</v>
      </c>
      <c r="E19" s="727">
        <f>transport!D14</f>
        <v>73.093923281298942</v>
      </c>
      <c r="F19" s="727">
        <f>transport!E14</f>
        <v>305.5508901896896</v>
      </c>
      <c r="G19" s="727">
        <f>transport!F14</f>
        <v>0</v>
      </c>
      <c r="H19" s="727">
        <f>transport!G14</f>
        <v>104385.82059655499</v>
      </c>
      <c r="I19" s="727">
        <f>transport!H14</f>
        <v>19950.175722479489</v>
      </c>
      <c r="J19" s="727">
        <f>transport!I14</f>
        <v>0</v>
      </c>
      <c r="K19" s="727">
        <f>transport!J14</f>
        <v>0</v>
      </c>
      <c r="L19" s="727">
        <f>transport!K14</f>
        <v>0</v>
      </c>
      <c r="M19" s="727">
        <f>transport!L14</f>
        <v>0</v>
      </c>
      <c r="N19" s="727">
        <f>transport!M14</f>
        <v>3886.3962085687435</v>
      </c>
      <c r="O19" s="727">
        <f>transport!N14</f>
        <v>0</v>
      </c>
      <c r="P19" s="727">
        <f>transport!O14</f>
        <v>0</v>
      </c>
      <c r="Q19" s="728">
        <f>transport!P14</f>
        <v>0</v>
      </c>
      <c r="R19" s="729">
        <f>SUM(C19:Q19)</f>
        <v>128634.56905310306</v>
      </c>
      <c r="S19" s="67"/>
    </row>
    <row r="20" spans="1:19" s="474" customFormat="1" ht="15.75" thickBot="1">
      <c r="A20" s="730" t="s">
        <v>230</v>
      </c>
      <c r="B20" s="878"/>
      <c r="C20" s="873">
        <f>SUM(C17:C19)</f>
        <v>33.531712028860369</v>
      </c>
      <c r="D20" s="731">
        <f t="shared" ref="D20:R20" si="1">SUM(D17:D19)</f>
        <v>0</v>
      </c>
      <c r="E20" s="731">
        <f t="shared" si="1"/>
        <v>73.093923281298942</v>
      </c>
      <c r="F20" s="731">
        <f t="shared" si="1"/>
        <v>305.5508901896896</v>
      </c>
      <c r="G20" s="731">
        <f t="shared" si="1"/>
        <v>0</v>
      </c>
      <c r="H20" s="731">
        <f t="shared" si="1"/>
        <v>106443.67652723883</v>
      </c>
      <c r="I20" s="731">
        <f t="shared" si="1"/>
        <v>19950.175722479489</v>
      </c>
      <c r="J20" s="731">
        <f t="shared" si="1"/>
        <v>0</v>
      </c>
      <c r="K20" s="731">
        <f t="shared" si="1"/>
        <v>0</v>
      </c>
      <c r="L20" s="731">
        <f t="shared" si="1"/>
        <v>0</v>
      </c>
      <c r="M20" s="731">
        <f t="shared" si="1"/>
        <v>0</v>
      </c>
      <c r="N20" s="731">
        <f t="shared" si="1"/>
        <v>3950.2262957401281</v>
      </c>
      <c r="O20" s="731">
        <f t="shared" si="1"/>
        <v>0</v>
      </c>
      <c r="P20" s="731">
        <f t="shared" si="1"/>
        <v>0</v>
      </c>
      <c r="Q20" s="732">
        <f t="shared" si="1"/>
        <v>0</v>
      </c>
      <c r="R20" s="733">
        <f t="shared" si="1"/>
        <v>130756.25507095827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37.774819169100006</v>
      </c>
      <c r="D22" s="727">
        <f>+landbouw!C8</f>
        <v>0</v>
      </c>
      <c r="E22" s="727">
        <f>+landbouw!D8</f>
        <v>3509.6943345189661</v>
      </c>
      <c r="F22" s="727">
        <f>+landbouw!E8</f>
        <v>0.97406754783407479</v>
      </c>
      <c r="G22" s="727">
        <f>+landbouw!F8</f>
        <v>138.07415792791389</v>
      </c>
      <c r="H22" s="727">
        <f>+landbouw!G8</f>
        <v>0</v>
      </c>
      <c r="I22" s="727">
        <f>+landbouw!H8</f>
        <v>0</v>
      </c>
      <c r="J22" s="727">
        <f>+landbouw!I8</f>
        <v>0</v>
      </c>
      <c r="K22" s="727">
        <f>+landbouw!J8</f>
        <v>5.4381843510315901</v>
      </c>
      <c r="L22" s="727">
        <f>+landbouw!K8</f>
        <v>0</v>
      </c>
      <c r="M22" s="727">
        <f>+landbouw!L8</f>
        <v>0</v>
      </c>
      <c r="N22" s="727">
        <f>+landbouw!M8</f>
        <v>0</v>
      </c>
      <c r="O22" s="727">
        <f>+landbouw!N8</f>
        <v>0</v>
      </c>
      <c r="P22" s="727">
        <f>+landbouw!O8</f>
        <v>0</v>
      </c>
      <c r="Q22" s="728">
        <f>+landbouw!P8</f>
        <v>0</v>
      </c>
      <c r="R22" s="729">
        <f>SUM(C22:Q22)</f>
        <v>3691.9555635148454</v>
      </c>
      <c r="S22" s="67"/>
    </row>
    <row r="23" spans="1:19" s="474" customFormat="1" ht="17.25" thickTop="1" thickBot="1">
      <c r="A23" s="734" t="s">
        <v>116</v>
      </c>
      <c r="B23" s="864"/>
      <c r="C23" s="735">
        <f ca="1">C20+C15+C22</f>
        <v>52941.890203396906</v>
      </c>
      <c r="D23" s="735">
        <f t="shared" ref="D23:Q23" ca="1" si="2">D20+D15+D22</f>
        <v>0</v>
      </c>
      <c r="E23" s="735">
        <f t="shared" ca="1" si="2"/>
        <v>113655.58210031243</v>
      </c>
      <c r="F23" s="735">
        <f t="shared" si="2"/>
        <v>1850.3594008634941</v>
      </c>
      <c r="G23" s="735">
        <f t="shared" ca="1" si="2"/>
        <v>7262.0094007830239</v>
      </c>
      <c r="H23" s="735">
        <f t="shared" si="2"/>
        <v>106443.67652723883</v>
      </c>
      <c r="I23" s="735">
        <f t="shared" si="2"/>
        <v>19950.175722479489</v>
      </c>
      <c r="J23" s="735">
        <f t="shared" si="2"/>
        <v>0</v>
      </c>
      <c r="K23" s="735">
        <f t="shared" si="2"/>
        <v>40.219224581252597</v>
      </c>
      <c r="L23" s="735">
        <f t="shared" si="2"/>
        <v>0</v>
      </c>
      <c r="M23" s="735">
        <f t="shared" ca="1" si="2"/>
        <v>0</v>
      </c>
      <c r="N23" s="735">
        <f t="shared" si="2"/>
        <v>3950.2262957401281</v>
      </c>
      <c r="O23" s="735">
        <f t="shared" ca="1" si="2"/>
        <v>5416.4738529643864</v>
      </c>
      <c r="P23" s="735">
        <f t="shared" si="2"/>
        <v>65.660000000000011</v>
      </c>
      <c r="Q23" s="736">
        <f t="shared" si="2"/>
        <v>152.53333333333333</v>
      </c>
      <c r="R23" s="737">
        <f ca="1">R20+R15+R22</f>
        <v>311728.80606169323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3854.9267672183346</v>
      </c>
      <c r="D36" s="718">
        <f ca="1">tertiair!C20</f>
        <v>0</v>
      </c>
      <c r="E36" s="718">
        <f ca="1">tertiair!D20</f>
        <v>6292.3793496063317</v>
      </c>
      <c r="F36" s="718">
        <f>tertiair!E20</f>
        <v>87.462555404924998</v>
      </c>
      <c r="G36" s="718">
        <f ca="1">tertiair!F20</f>
        <v>1385.3553768053657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11620.124049034957</v>
      </c>
    </row>
    <row r="37" spans="1:18">
      <c r="A37" s="885" t="s">
        <v>225</v>
      </c>
      <c r="B37" s="892"/>
      <c r="C37" s="718">
        <f ca="1">huishoudens!B12</f>
        <v>5054.1081524153205</v>
      </c>
      <c r="D37" s="718">
        <f ca="1">huishoudens!C12</f>
        <v>0</v>
      </c>
      <c r="E37" s="718">
        <f>huishoudens!D12</f>
        <v>15102.905916270878</v>
      </c>
      <c r="F37" s="718">
        <f>huishoudens!E12</f>
        <v>162.85647050107349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20319.870539187272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1160.6833632443127</v>
      </c>
      <c r="D39" s="718">
        <f ca="1">industrie!C22</f>
        <v>0</v>
      </c>
      <c r="E39" s="718">
        <f>industrie!D22</f>
        <v>839.41909031024966</v>
      </c>
      <c r="F39" s="718">
        <f>industrie!E22</f>
        <v>100.13139268359681</v>
      </c>
      <c r="G39" s="718">
        <f>industrie!F22</f>
        <v>516.73533303694887</v>
      </c>
      <c r="H39" s="718">
        <f>industrie!G22</f>
        <v>0</v>
      </c>
      <c r="I39" s="718">
        <f>industrie!H22</f>
        <v>0</v>
      </c>
      <c r="J39" s="718">
        <f>industrie!I22</f>
        <v>0</v>
      </c>
      <c r="K39" s="718">
        <f>industrie!J22</f>
        <v>12.312488241498237</v>
      </c>
      <c r="L39" s="718">
        <f>industrie!K22</f>
        <v>0</v>
      </c>
      <c r="M39" s="718">
        <f>industrie!L22</f>
        <v>0</v>
      </c>
      <c r="N39" s="718">
        <f>industrie!M22</f>
        <v>0</v>
      </c>
      <c r="O39" s="718">
        <f>industrie!N22</f>
        <v>0</v>
      </c>
      <c r="P39" s="718">
        <f>industrie!O22</f>
        <v>0</v>
      </c>
      <c r="Q39" s="828">
        <f>industrie!P22</f>
        <v>0</v>
      </c>
      <c r="R39" s="918">
        <f ca="1">SUM(C39:Q39)</f>
        <v>2629.2816675166059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10069.718282877968</v>
      </c>
      <c r="D41" s="763">
        <f t="shared" ref="D41:R41" ca="1" si="4">SUM(D35:D40)</f>
        <v>0</v>
      </c>
      <c r="E41" s="763">
        <f t="shared" ca="1" si="4"/>
        <v>22234.70435618746</v>
      </c>
      <c r="F41" s="763">
        <f t="shared" si="4"/>
        <v>350.4504185895953</v>
      </c>
      <c r="G41" s="763">
        <f t="shared" ca="1" si="4"/>
        <v>1902.0907098423145</v>
      </c>
      <c r="H41" s="763">
        <f t="shared" si="4"/>
        <v>0</v>
      </c>
      <c r="I41" s="763">
        <f t="shared" si="4"/>
        <v>0</v>
      </c>
      <c r="J41" s="763">
        <f t="shared" si="4"/>
        <v>0</v>
      </c>
      <c r="K41" s="763">
        <f t="shared" si="4"/>
        <v>12.312488241498237</v>
      </c>
      <c r="L41" s="763">
        <f t="shared" si="4"/>
        <v>0</v>
      </c>
      <c r="M41" s="763">
        <f t="shared" ca="1" si="4"/>
        <v>0</v>
      </c>
      <c r="N41" s="763">
        <f t="shared" si="4"/>
        <v>0</v>
      </c>
      <c r="O41" s="763">
        <f t="shared" ca="1" si="4"/>
        <v>0</v>
      </c>
      <c r="P41" s="763">
        <f t="shared" si="4"/>
        <v>0</v>
      </c>
      <c r="Q41" s="764">
        <f t="shared" si="4"/>
        <v>0</v>
      </c>
      <c r="R41" s="765">
        <f t="shared" ca="1" si="4"/>
        <v>34569.276255738834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549.44753349258451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549.44753349258451</v>
      </c>
    </row>
    <row r="45" spans="1:18" ht="15" thickBot="1">
      <c r="A45" s="888" t="s">
        <v>307</v>
      </c>
      <c r="B45" s="898"/>
      <c r="C45" s="727">
        <f ca="1">transport!B18</f>
        <v>6.3864415752755184</v>
      </c>
      <c r="D45" s="727">
        <f>transport!C18</f>
        <v>0</v>
      </c>
      <c r="E45" s="727">
        <f>transport!D18</f>
        <v>14.764972502822387</v>
      </c>
      <c r="F45" s="727">
        <f>transport!E18</f>
        <v>69.360052073059535</v>
      </c>
      <c r="G45" s="727">
        <f>transport!F18</f>
        <v>0</v>
      </c>
      <c r="H45" s="727">
        <f>transport!G18</f>
        <v>27871.014099280183</v>
      </c>
      <c r="I45" s="727">
        <f>transport!H18</f>
        <v>4967.5937548973925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32929.119320328733</v>
      </c>
    </row>
    <row r="46" spans="1:18" ht="15.75" thickBot="1">
      <c r="A46" s="886" t="s">
        <v>230</v>
      </c>
      <c r="B46" s="899"/>
      <c r="C46" s="763">
        <f t="shared" ref="C46:R46" ca="1" si="5">SUM(C43:C45)</f>
        <v>6.3864415752755184</v>
      </c>
      <c r="D46" s="763">
        <f t="shared" ca="1" si="5"/>
        <v>0</v>
      </c>
      <c r="E46" s="763">
        <f t="shared" si="5"/>
        <v>14.764972502822387</v>
      </c>
      <c r="F46" s="763">
        <f t="shared" si="5"/>
        <v>69.360052073059535</v>
      </c>
      <c r="G46" s="763">
        <f t="shared" si="5"/>
        <v>0</v>
      </c>
      <c r="H46" s="763">
        <f t="shared" si="5"/>
        <v>28420.461632772767</v>
      </c>
      <c r="I46" s="763">
        <f t="shared" si="5"/>
        <v>4967.5937548973925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33478.566853821314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7.1945827112083203</v>
      </c>
      <c r="D48" s="718">
        <f ca="1">+landbouw!C12</f>
        <v>0</v>
      </c>
      <c r="E48" s="718">
        <f>+landbouw!D12</f>
        <v>708.95825557283115</v>
      </c>
      <c r="F48" s="718">
        <f>+landbouw!E12</f>
        <v>0.221113333358335</v>
      </c>
      <c r="G48" s="718">
        <f>+landbouw!F12</f>
        <v>36.865800166753012</v>
      </c>
      <c r="H48" s="718">
        <f>+landbouw!G12</f>
        <v>0</v>
      </c>
      <c r="I48" s="718">
        <f>+landbouw!H12</f>
        <v>0</v>
      </c>
      <c r="J48" s="718">
        <f>+landbouw!I12</f>
        <v>0</v>
      </c>
      <c r="K48" s="718">
        <f>+landbouw!J12</f>
        <v>1.9251172602651827</v>
      </c>
      <c r="L48" s="718">
        <f>+landbouw!K12</f>
        <v>0</v>
      </c>
      <c r="M48" s="718">
        <f>+landbouw!L12</f>
        <v>0</v>
      </c>
      <c r="N48" s="718">
        <f>+landbouw!M12</f>
        <v>0</v>
      </c>
      <c r="O48" s="718">
        <f>+landbouw!N12</f>
        <v>0</v>
      </c>
      <c r="P48" s="718">
        <f>+landbouw!O12</f>
        <v>0</v>
      </c>
      <c r="Q48" s="719">
        <f>+landbouw!P12</f>
        <v>0</v>
      </c>
      <c r="R48" s="761">
        <f ca="1">SUM(C48:Q48)</f>
        <v>755.16486904441604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10083.299307164452</v>
      </c>
      <c r="D53" s="773">
        <f t="shared" ref="D53:Q53" ca="1" si="6">D41+D46+D48</f>
        <v>0</v>
      </c>
      <c r="E53" s="773">
        <f t="shared" ca="1" si="6"/>
        <v>22958.427584263114</v>
      </c>
      <c r="F53" s="773">
        <f t="shared" si="6"/>
        <v>420.03158399601318</v>
      </c>
      <c r="G53" s="773">
        <f t="shared" ca="1" si="6"/>
        <v>1938.9565100090674</v>
      </c>
      <c r="H53" s="773">
        <f t="shared" si="6"/>
        <v>28420.461632772767</v>
      </c>
      <c r="I53" s="773">
        <f t="shared" si="6"/>
        <v>4967.5937548973925</v>
      </c>
      <c r="J53" s="773">
        <f t="shared" si="6"/>
        <v>0</v>
      </c>
      <c r="K53" s="773">
        <f t="shared" si="6"/>
        <v>14.237605501763419</v>
      </c>
      <c r="L53" s="773">
        <f t="shared" si="6"/>
        <v>0</v>
      </c>
      <c r="M53" s="773">
        <f t="shared" ca="1" si="6"/>
        <v>0</v>
      </c>
      <c r="N53" s="773">
        <f t="shared" si="6"/>
        <v>0</v>
      </c>
      <c r="O53" s="773">
        <f t="shared" ca="1" si="6"/>
        <v>0</v>
      </c>
      <c r="P53" s="773">
        <f>P41+P46+P48</f>
        <v>0</v>
      </c>
      <c r="Q53" s="774">
        <f t="shared" si="6"/>
        <v>0</v>
      </c>
      <c r="R53" s="775">
        <f ca="1">R41+R46+R48</f>
        <v>68803.007978604554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0.19045975254048406</v>
      </c>
      <c r="D55" s="836">
        <f t="shared" ca="1" si="7"/>
        <v>0</v>
      </c>
      <c r="E55" s="836">
        <f t="shared" ca="1" si="7"/>
        <v>0.20200000000000004</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7316.1014831957655</v>
      </c>
      <c r="C66" s="795">
        <f>'lokale energieproductie'!B6</f>
        <v>7316.1014831957655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7316.1014831957655</v>
      </c>
      <c r="C69" s="803">
        <f>SUM(C64:C68)</f>
        <v>7316.1014831957655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26536.357865638944</v>
      </c>
      <c r="C4" s="478">
        <f>huishoudens!C8</f>
        <v>0</v>
      </c>
      <c r="D4" s="478">
        <f>huishoudens!D8</f>
        <v>74766.860971638002</v>
      </c>
      <c r="E4" s="478">
        <f>huishoudens!E8</f>
        <v>717.42938546728408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2910.7811094626213</v>
      </c>
      <c r="O4" s="478">
        <f>huishoudens!O8</f>
        <v>64.096666666666678</v>
      </c>
      <c r="P4" s="479">
        <f>huishoudens!P8</f>
        <v>152.53333333333333</v>
      </c>
      <c r="Q4" s="480">
        <f>SUM(B4:P4)</f>
        <v>105148.05933220686</v>
      </c>
    </row>
    <row r="5" spans="1:17">
      <c r="A5" s="477" t="s">
        <v>156</v>
      </c>
      <c r="B5" s="478">
        <f ca="1">tertiair!B16</f>
        <v>19237.197232630002</v>
      </c>
      <c r="C5" s="478">
        <f ca="1">tertiair!C16</f>
        <v>0</v>
      </c>
      <c r="D5" s="478">
        <f ca="1">tertiair!D16</f>
        <v>31150.392819833323</v>
      </c>
      <c r="E5" s="478">
        <f>tertiair!E16</f>
        <v>385.29760090275329</v>
      </c>
      <c r="F5" s="478">
        <f ca="1">tertiair!F16</f>
        <v>5188.5969168740285</v>
      </c>
      <c r="G5" s="478">
        <f>tertiair!G16</f>
        <v>0</v>
      </c>
      <c r="H5" s="478">
        <f>tertiair!H16</f>
        <v>0</v>
      </c>
      <c r="I5" s="478">
        <f>tertiair!I16</f>
        <v>0</v>
      </c>
      <c r="J5" s="478">
        <f>tertiair!J16</f>
        <v>0</v>
      </c>
      <c r="K5" s="478">
        <f>tertiair!K16</f>
        <v>0</v>
      </c>
      <c r="L5" s="478">
        <f ca="1">tertiair!L16</f>
        <v>0</v>
      </c>
      <c r="M5" s="478">
        <f>tertiair!M16</f>
        <v>0</v>
      </c>
      <c r="N5" s="478">
        <f ca="1">tertiair!N16</f>
        <v>1264.2646771861394</v>
      </c>
      <c r="O5" s="478">
        <f>tertiair!O16</f>
        <v>1.5633333333333335</v>
      </c>
      <c r="P5" s="479">
        <f>tertiair!P16</f>
        <v>0</v>
      </c>
      <c r="Q5" s="477">
        <f t="shared" ref="Q5:Q13" ca="1" si="0">SUM(B5:P5)</f>
        <v>57227.312580759579</v>
      </c>
    </row>
    <row r="6" spans="1:17">
      <c r="A6" s="477" t="s">
        <v>194</v>
      </c>
      <c r="B6" s="478">
        <f>'openbare verlichting'!B8</f>
        <v>1002.915</v>
      </c>
      <c r="C6" s="478"/>
      <c r="D6" s="478"/>
      <c r="E6" s="478"/>
      <c r="F6" s="478"/>
      <c r="G6" s="478"/>
      <c r="H6" s="478"/>
      <c r="I6" s="478"/>
      <c r="J6" s="478"/>
      <c r="K6" s="478"/>
      <c r="L6" s="478"/>
      <c r="M6" s="478"/>
      <c r="N6" s="478"/>
      <c r="O6" s="478"/>
      <c r="P6" s="479"/>
      <c r="Q6" s="477">
        <f t="shared" si="0"/>
        <v>1002.915</v>
      </c>
    </row>
    <row r="7" spans="1:17">
      <c r="A7" s="477" t="s">
        <v>112</v>
      </c>
      <c r="B7" s="478">
        <f>landbouw!B8</f>
        <v>37.774819169100006</v>
      </c>
      <c r="C7" s="478">
        <f>landbouw!C8</f>
        <v>0</v>
      </c>
      <c r="D7" s="478">
        <f>landbouw!D8</f>
        <v>3509.6943345189661</v>
      </c>
      <c r="E7" s="478">
        <f>landbouw!E8</f>
        <v>0.97406754783407479</v>
      </c>
      <c r="F7" s="478">
        <f>landbouw!F8</f>
        <v>138.07415792791389</v>
      </c>
      <c r="G7" s="478">
        <f>landbouw!G8</f>
        <v>0</v>
      </c>
      <c r="H7" s="478">
        <f>landbouw!H8</f>
        <v>0</v>
      </c>
      <c r="I7" s="478">
        <f>landbouw!I8</f>
        <v>0</v>
      </c>
      <c r="J7" s="478">
        <f>landbouw!J8</f>
        <v>5.4381843510315901</v>
      </c>
      <c r="K7" s="478">
        <f>landbouw!K8</f>
        <v>0</v>
      </c>
      <c r="L7" s="478">
        <f>landbouw!L8</f>
        <v>0</v>
      </c>
      <c r="M7" s="478">
        <f>landbouw!M8</f>
        <v>0</v>
      </c>
      <c r="N7" s="478">
        <f>landbouw!N8</f>
        <v>0</v>
      </c>
      <c r="O7" s="478">
        <f>landbouw!O8</f>
        <v>0</v>
      </c>
      <c r="P7" s="479">
        <f>landbouw!P8</f>
        <v>0</v>
      </c>
      <c r="Q7" s="477">
        <f t="shared" si="0"/>
        <v>3691.9555635148454</v>
      </c>
    </row>
    <row r="8" spans="1:17">
      <c r="A8" s="477" t="s">
        <v>638</v>
      </c>
      <c r="B8" s="478">
        <f>industrie!B18</f>
        <v>6094.1135739299998</v>
      </c>
      <c r="C8" s="478">
        <f>industrie!C18</f>
        <v>0</v>
      </c>
      <c r="D8" s="478">
        <f>industrie!D18</f>
        <v>4155.5400510408399</v>
      </c>
      <c r="E8" s="478">
        <f>industrie!E18</f>
        <v>441.10745675593307</v>
      </c>
      <c r="F8" s="478">
        <f>industrie!F18</f>
        <v>1935.3383259810819</v>
      </c>
      <c r="G8" s="478">
        <f>industrie!G18</f>
        <v>0</v>
      </c>
      <c r="H8" s="478">
        <f>industrie!H18</f>
        <v>0</v>
      </c>
      <c r="I8" s="478">
        <f>industrie!I18</f>
        <v>0</v>
      </c>
      <c r="J8" s="478">
        <f>industrie!J18</f>
        <v>34.781040230221009</v>
      </c>
      <c r="K8" s="478">
        <f>industrie!K18</f>
        <v>0</v>
      </c>
      <c r="L8" s="478">
        <f>industrie!L18</f>
        <v>0</v>
      </c>
      <c r="M8" s="478">
        <f>industrie!M18</f>
        <v>0</v>
      </c>
      <c r="N8" s="478">
        <f>industrie!N18</f>
        <v>1241.4280663156262</v>
      </c>
      <c r="O8" s="478">
        <f>industrie!O18</f>
        <v>0</v>
      </c>
      <c r="P8" s="479">
        <f>industrie!P18</f>
        <v>0</v>
      </c>
      <c r="Q8" s="477">
        <f t="shared" si="0"/>
        <v>13902.308514253702</v>
      </c>
    </row>
    <row r="9" spans="1:17" s="483" customFormat="1">
      <c r="A9" s="481" t="s">
        <v>564</v>
      </c>
      <c r="B9" s="482">
        <f>transport!B14</f>
        <v>33.531712028860369</v>
      </c>
      <c r="C9" s="482">
        <f>transport!C14</f>
        <v>0</v>
      </c>
      <c r="D9" s="482">
        <f>transport!D14</f>
        <v>73.093923281298942</v>
      </c>
      <c r="E9" s="482">
        <f>transport!E14</f>
        <v>305.5508901896896</v>
      </c>
      <c r="F9" s="482">
        <f>transport!F14</f>
        <v>0</v>
      </c>
      <c r="G9" s="482">
        <f>transport!G14</f>
        <v>104385.82059655499</v>
      </c>
      <c r="H9" s="482">
        <f>transport!H14</f>
        <v>19950.175722479489</v>
      </c>
      <c r="I9" s="482">
        <f>transport!I14</f>
        <v>0</v>
      </c>
      <c r="J9" s="482">
        <f>transport!J14</f>
        <v>0</v>
      </c>
      <c r="K9" s="482">
        <f>transport!K14</f>
        <v>0</v>
      </c>
      <c r="L9" s="482">
        <f>transport!L14</f>
        <v>0</v>
      </c>
      <c r="M9" s="482">
        <f>transport!M14</f>
        <v>3886.3962085687435</v>
      </c>
      <c r="N9" s="482">
        <f>transport!N14</f>
        <v>0</v>
      </c>
      <c r="O9" s="482">
        <f>transport!O14</f>
        <v>0</v>
      </c>
      <c r="P9" s="482">
        <f>transport!P14</f>
        <v>0</v>
      </c>
      <c r="Q9" s="481">
        <f>SUM(B9:P9)</f>
        <v>128634.56905310306</v>
      </c>
    </row>
    <row r="10" spans="1:17">
      <c r="A10" s="477" t="s">
        <v>554</v>
      </c>
      <c r="B10" s="478">
        <f>transport!B54</f>
        <v>0</v>
      </c>
      <c r="C10" s="478">
        <f>transport!C54</f>
        <v>0</v>
      </c>
      <c r="D10" s="478">
        <f>transport!D54</f>
        <v>0</v>
      </c>
      <c r="E10" s="478">
        <f>transport!E54</f>
        <v>0</v>
      </c>
      <c r="F10" s="478">
        <f>transport!F54</f>
        <v>0</v>
      </c>
      <c r="G10" s="478">
        <f>transport!G54</f>
        <v>2057.855930683837</v>
      </c>
      <c r="H10" s="478">
        <f>transport!H54</f>
        <v>0</v>
      </c>
      <c r="I10" s="478">
        <f>transport!I54</f>
        <v>0</v>
      </c>
      <c r="J10" s="478">
        <f>transport!J54</f>
        <v>0</v>
      </c>
      <c r="K10" s="478">
        <f>transport!K54</f>
        <v>0</v>
      </c>
      <c r="L10" s="478">
        <f>transport!L54</f>
        <v>0</v>
      </c>
      <c r="M10" s="478">
        <f>transport!M54</f>
        <v>63.830087171384527</v>
      </c>
      <c r="N10" s="478">
        <f>transport!N54</f>
        <v>0</v>
      </c>
      <c r="O10" s="478">
        <f>transport!O54</f>
        <v>0</v>
      </c>
      <c r="P10" s="479">
        <f>transport!P54</f>
        <v>0</v>
      </c>
      <c r="Q10" s="477">
        <f t="shared" si="0"/>
        <v>2121.6860178552215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52941.890203396906</v>
      </c>
      <c r="C14" s="488">
        <f t="shared" ref="C14:Q14" ca="1" si="1">SUM(C4:C13)</f>
        <v>0</v>
      </c>
      <c r="D14" s="488">
        <f t="shared" ca="1" si="1"/>
        <v>113655.58210031243</v>
      </c>
      <c r="E14" s="488">
        <f t="shared" si="1"/>
        <v>1850.3594008634941</v>
      </c>
      <c r="F14" s="488">
        <f t="shared" ca="1" si="1"/>
        <v>7262.0094007830239</v>
      </c>
      <c r="G14" s="488">
        <f t="shared" si="1"/>
        <v>106443.67652723883</v>
      </c>
      <c r="H14" s="488">
        <f t="shared" si="1"/>
        <v>19950.175722479489</v>
      </c>
      <c r="I14" s="488">
        <f t="shared" si="1"/>
        <v>0</v>
      </c>
      <c r="J14" s="488">
        <f t="shared" si="1"/>
        <v>40.219224581252597</v>
      </c>
      <c r="K14" s="488">
        <f t="shared" si="1"/>
        <v>0</v>
      </c>
      <c r="L14" s="488">
        <f t="shared" ca="1" si="1"/>
        <v>0</v>
      </c>
      <c r="M14" s="488">
        <f t="shared" si="1"/>
        <v>3950.2262957401281</v>
      </c>
      <c r="N14" s="488">
        <f t="shared" ca="1" si="1"/>
        <v>5416.4738529643864</v>
      </c>
      <c r="O14" s="488">
        <f t="shared" si="1"/>
        <v>65.660000000000011</v>
      </c>
      <c r="P14" s="489">
        <f t="shared" si="1"/>
        <v>152.53333333333333</v>
      </c>
      <c r="Q14" s="489">
        <f t="shared" ca="1" si="1"/>
        <v>311728.80606169329</v>
      </c>
    </row>
    <row r="16" spans="1:17">
      <c r="A16" s="491" t="s">
        <v>559</v>
      </c>
      <c r="B16" s="841">
        <f ca="1">huishoudens!B10</f>
        <v>0.19045975254048406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5054.1081524153205</v>
      </c>
      <c r="C21" s="478">
        <f t="shared" ref="C21:C30" ca="1" si="3">C4*$C$16</f>
        <v>0</v>
      </c>
      <c r="D21" s="478">
        <f t="shared" ref="D21:D30" si="4">D4*$D$16</f>
        <v>15102.905916270878</v>
      </c>
      <c r="E21" s="478">
        <f t="shared" ref="E21:E30" si="5">E4*$E$16</f>
        <v>162.85647050107349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20319.870539187272</v>
      </c>
    </row>
    <row r="22" spans="1:17">
      <c r="A22" s="477" t="s">
        <v>156</v>
      </c>
      <c r="B22" s="478">
        <f t="shared" ca="1" si="2"/>
        <v>3663.9118244991951</v>
      </c>
      <c r="C22" s="478">
        <f t="shared" ca="1" si="3"/>
        <v>0</v>
      </c>
      <c r="D22" s="478">
        <f t="shared" ca="1" si="4"/>
        <v>6292.3793496063317</v>
      </c>
      <c r="E22" s="478">
        <f t="shared" si="5"/>
        <v>87.462555404924998</v>
      </c>
      <c r="F22" s="478">
        <f t="shared" ca="1" si="6"/>
        <v>1385.3553768053657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11429.109106315818</v>
      </c>
    </row>
    <row r="23" spans="1:17">
      <c r="A23" s="477" t="s">
        <v>194</v>
      </c>
      <c r="B23" s="478">
        <f t="shared" ca="1" si="2"/>
        <v>191.01494271913955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191.01494271913955</v>
      </c>
    </row>
    <row r="24" spans="1:17">
      <c r="A24" s="477" t="s">
        <v>112</v>
      </c>
      <c r="B24" s="478">
        <f t="shared" ca="1" si="2"/>
        <v>7.1945827112083203</v>
      </c>
      <c r="C24" s="478">
        <f t="shared" ca="1" si="3"/>
        <v>0</v>
      </c>
      <c r="D24" s="478">
        <f t="shared" si="4"/>
        <v>708.95825557283115</v>
      </c>
      <c r="E24" s="478">
        <f t="shared" si="5"/>
        <v>0.221113333358335</v>
      </c>
      <c r="F24" s="478">
        <f t="shared" si="6"/>
        <v>36.865800166753012</v>
      </c>
      <c r="G24" s="478">
        <f t="shared" si="7"/>
        <v>0</v>
      </c>
      <c r="H24" s="478">
        <f t="shared" si="8"/>
        <v>0</v>
      </c>
      <c r="I24" s="478">
        <f t="shared" si="9"/>
        <v>0</v>
      </c>
      <c r="J24" s="478">
        <f t="shared" si="10"/>
        <v>1.9251172602651827</v>
      </c>
      <c r="K24" s="478">
        <f t="shared" si="11"/>
        <v>0</v>
      </c>
      <c r="L24" s="478">
        <f t="shared" si="12"/>
        <v>0</v>
      </c>
      <c r="M24" s="478">
        <f t="shared" si="13"/>
        <v>0</v>
      </c>
      <c r="N24" s="478">
        <f t="shared" si="14"/>
        <v>0</v>
      </c>
      <c r="O24" s="478">
        <f t="shared" si="15"/>
        <v>0</v>
      </c>
      <c r="P24" s="479">
        <f t="shared" si="16"/>
        <v>0</v>
      </c>
      <c r="Q24" s="477">
        <f t="shared" ca="1" si="17"/>
        <v>755.16486904441604</v>
      </c>
    </row>
    <row r="25" spans="1:17">
      <c r="A25" s="477" t="s">
        <v>638</v>
      </c>
      <c r="B25" s="478">
        <f t="shared" ca="1" si="2"/>
        <v>1160.6833632443127</v>
      </c>
      <c r="C25" s="478">
        <f t="shared" ca="1" si="3"/>
        <v>0</v>
      </c>
      <c r="D25" s="478">
        <f t="shared" si="4"/>
        <v>839.41909031024966</v>
      </c>
      <c r="E25" s="478">
        <f t="shared" si="5"/>
        <v>100.13139268359681</v>
      </c>
      <c r="F25" s="478">
        <f t="shared" si="6"/>
        <v>516.73533303694887</v>
      </c>
      <c r="G25" s="478">
        <f t="shared" si="7"/>
        <v>0</v>
      </c>
      <c r="H25" s="478">
        <f t="shared" si="8"/>
        <v>0</v>
      </c>
      <c r="I25" s="478">
        <f t="shared" si="9"/>
        <v>0</v>
      </c>
      <c r="J25" s="478">
        <f t="shared" si="10"/>
        <v>12.312488241498237</v>
      </c>
      <c r="K25" s="478">
        <f t="shared" si="11"/>
        <v>0</v>
      </c>
      <c r="L25" s="478">
        <f t="shared" si="12"/>
        <v>0</v>
      </c>
      <c r="M25" s="478">
        <f t="shared" si="13"/>
        <v>0</v>
      </c>
      <c r="N25" s="478">
        <f t="shared" si="14"/>
        <v>0</v>
      </c>
      <c r="O25" s="478">
        <f t="shared" si="15"/>
        <v>0</v>
      </c>
      <c r="P25" s="479">
        <f t="shared" si="16"/>
        <v>0</v>
      </c>
      <c r="Q25" s="477">
        <f t="shared" ca="1" si="17"/>
        <v>2629.2816675166059</v>
      </c>
    </row>
    <row r="26" spans="1:17" s="483" customFormat="1">
      <c r="A26" s="481" t="s">
        <v>564</v>
      </c>
      <c r="B26" s="835">
        <f t="shared" ca="1" si="2"/>
        <v>6.3864415752755184</v>
      </c>
      <c r="C26" s="482">
        <f t="shared" ca="1" si="3"/>
        <v>0</v>
      </c>
      <c r="D26" s="482">
        <f t="shared" si="4"/>
        <v>14.764972502822387</v>
      </c>
      <c r="E26" s="482">
        <f t="shared" si="5"/>
        <v>69.360052073059535</v>
      </c>
      <c r="F26" s="482">
        <f t="shared" si="6"/>
        <v>0</v>
      </c>
      <c r="G26" s="482">
        <f t="shared" si="7"/>
        <v>27871.014099280183</v>
      </c>
      <c r="H26" s="482">
        <f t="shared" si="8"/>
        <v>4967.5937548973925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32929.119320328733</v>
      </c>
    </row>
    <row r="27" spans="1:17">
      <c r="A27" s="477" t="s">
        <v>554</v>
      </c>
      <c r="B27" s="478">
        <f t="shared" ca="1" si="2"/>
        <v>0</v>
      </c>
      <c r="C27" s="478">
        <f t="shared" ca="1" si="3"/>
        <v>0</v>
      </c>
      <c r="D27" s="478">
        <f t="shared" si="4"/>
        <v>0</v>
      </c>
      <c r="E27" s="478">
        <f t="shared" si="5"/>
        <v>0</v>
      </c>
      <c r="F27" s="478">
        <f t="shared" si="6"/>
        <v>0</v>
      </c>
      <c r="G27" s="478">
        <f t="shared" si="7"/>
        <v>549.44753349258451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549.44753349258451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10083.299307164451</v>
      </c>
      <c r="C31" s="488">
        <f t="shared" ca="1" si="18"/>
        <v>0</v>
      </c>
      <c r="D31" s="488">
        <f t="shared" ca="1" si="18"/>
        <v>22958.427584263114</v>
      </c>
      <c r="E31" s="488">
        <f t="shared" si="18"/>
        <v>420.03158399601318</v>
      </c>
      <c r="F31" s="488">
        <f t="shared" ca="1" si="18"/>
        <v>1938.9565100090676</v>
      </c>
      <c r="G31" s="488">
        <f t="shared" si="18"/>
        <v>28420.461632772767</v>
      </c>
      <c r="H31" s="488">
        <f t="shared" si="18"/>
        <v>4967.5937548973925</v>
      </c>
      <c r="I31" s="488">
        <f t="shared" si="18"/>
        <v>0</v>
      </c>
      <c r="J31" s="488">
        <f t="shared" si="18"/>
        <v>14.237605501763419</v>
      </c>
      <c r="K31" s="488">
        <f t="shared" si="18"/>
        <v>0</v>
      </c>
      <c r="L31" s="488">
        <f t="shared" ca="1" si="18"/>
        <v>0</v>
      </c>
      <c r="M31" s="488">
        <f t="shared" si="18"/>
        <v>0</v>
      </c>
      <c r="N31" s="488">
        <f t="shared" ca="1" si="18"/>
        <v>0</v>
      </c>
      <c r="O31" s="488">
        <f t="shared" si="18"/>
        <v>0</v>
      </c>
      <c r="P31" s="489">
        <f t="shared" si="18"/>
        <v>0</v>
      </c>
      <c r="Q31" s="489">
        <f t="shared" ca="1" si="18"/>
        <v>68803.007978604554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0.19045975254048406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0.19045975254048406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0.19045975254048406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2018-06-27T09:40:09Z</dcterms:modified>
</cp:coreProperties>
</file>