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D8" s="1"/>
  <c r="O60" i="18"/>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16" i="16"/>
  <c r="L18" s="1"/>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P41" i="14"/>
  <c r="P53" s="1"/>
  <c r="N7" i="48"/>
  <c r="N24"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C29" i="20"/>
  <c r="Q5" i="48"/>
  <c r="O13" i="14"/>
  <c r="O15" s="1"/>
  <c r="F22" i="16"/>
  <c r="G39" i="14" s="1"/>
  <c r="G41" s="1"/>
  <c r="N22" i="16"/>
  <c r="O39" i="14" s="1"/>
  <c r="O41" s="1"/>
  <c r="Q4" i="48"/>
  <c r="N22"/>
  <c r="R11" i="14"/>
  <c r="J21" i="48"/>
  <c r="E25" l="1"/>
  <c r="E31" s="1"/>
  <c r="E14"/>
  <c r="C20" i="16"/>
  <c r="C22" s="1"/>
  <c r="D39" i="14" s="1"/>
  <c r="E22" i="16"/>
  <c r="F39" i="14" s="1"/>
  <c r="F41" s="1"/>
  <c r="F53" s="1"/>
  <c r="F8" i="48"/>
  <c r="C17" i="19"/>
  <c r="C19" s="1"/>
  <c r="D35" i="14" s="1"/>
  <c r="C17" i="49"/>
  <c r="K41" i="14"/>
  <c r="K53" s="1"/>
  <c r="K55" s="1"/>
  <c r="N31" i="48"/>
  <c r="C56" i="22"/>
  <c r="C58" s="1"/>
  <c r="D44" i="14" s="1"/>
  <c r="D46" s="1"/>
  <c r="C10" i="17"/>
  <c r="C12" s="1"/>
  <c r="D48" i="14" s="1"/>
  <c r="N14" i="48"/>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<sst xmlns="http://schemas.openxmlformats.org/spreadsheetml/2006/main" count="1968" uniqueCount="845">
  <si>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</si>
  <si>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</si>
  <si>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</si>
  <si>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</si>
  <si>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</si>
  <si>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</si>
  <si>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</si>
  <si>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</si>
  <si>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</si>
  <si>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</si>
  <si>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</si>
  <si>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</si>
  <si>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</si>
  <si>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</si>
  <si>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</si>
  <si>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</si>
  <si>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</si>
  <si>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</si>
  <si>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</si>
  <si>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</si>
  <si>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</si>
  <si>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</si>
  <si>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</si>
  <si>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</si>
  <si>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</si>
  <si>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</si>
  <si>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</si>
  <si>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</si>
  <si>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</si>
  <si>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</si>
  <si>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</si>
  <si>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</si>
  <si>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</si>
  <si>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</si>
  <si>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</si>
  <si>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</si>
  <si>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</si>
  <si>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</si>
  <si>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</si>
  <si>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</si>
  <si>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</si>
  <si>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</si>
  <si>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</si>
  <si>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</si>
  <si>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</si>
  <si>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</si>
  <si>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</si>
  <si>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</si>
  <si>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</si>
  <si>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</si>
  <si>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</si>
  <si>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</si>
  <si>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</si>
  <si>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</si>
  <si>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</si>
  <si>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</si>
  <si>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</si>
  <si>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</si>
  <si>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</si>
  <si>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</si>
  <si>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</si>
  <si>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</si>
  <si>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</si>
  <si>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</si>
  <si>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</si>
  <si>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</si>
  <si>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</si>
  <si>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</si>
  <si>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</si>
  <si>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</si>
  <si>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</si>
  <si>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</si>
  <si>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</si>
  <si>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</si>
  <si>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</si>
  <si>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</si>
  <si>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</si>
  <si>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</si>
  <si>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</si>
  <si>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</si>
  <si>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</si>
  <si>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</si>
  <si>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</si>
  <si>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</si>
  <si>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</si>
  <si>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</si>
  <si>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</si>
  <si>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</si>
  <si>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</si>
  <si>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</si>
  <si>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</si>
  <si>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</si>
  <si>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</si>
  <si>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</si>
  <si>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</si>
  <si>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</si>
  <si>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</si>
  <si>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</si>
  <si>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</si>
  <si>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</si>
  <si>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</si>
  <si>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</si>
  <si>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</si>
  <si>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</si>
  <si>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</si>
  <si>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</si>
  <si>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</si>
  <si>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</si>
  <si>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</si>
  <si>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</si>
  <si>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</si>
  <si>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</si>
  <si>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</si>
  <si>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</si>
  <si>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</si>
  <si>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</si>
  <si>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</si>
  <si>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</si>
  <si>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</si>
  <si>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</si>
  <si>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</si>
  <si>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</si>
  <si>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</si>
  <si>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</si>
  <si>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</si>
  <si>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</si>
  <si>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</si>
  <si>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</si>
  <si>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</si>
  <si>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</si>
  <si>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</si>
  <si>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</si>
  <si>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</si>
  <si>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</si>
  <si>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</si>
  <si>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</si>
  <si>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</si>
  <si>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</si>
  <si>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</si>
  <si>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</si>
  <si>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</si>
  <si>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</si>
  <si>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</si>
  <si>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</si>
  <si>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</si>
  <si>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</si>
  <si>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</si>
  <si>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</si>
  <si>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</si>
  <si>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</si>
  <si>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</si>
  <si>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</si>
  <si>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</si>
  <si>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</si>
  <si>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</si>
  <si>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</si>
  <si>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</si>
  <si>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</si>
  <si>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</si>
  <si>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</si>
  <si>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</si>
  <si>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</si>
  <si>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</si>
  <si>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</si>
  <si>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</si>
  <si>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</si>
  <si>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</si>
  <si>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</si>
  <si>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</si>
  <si>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</si>
  <si>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</si>
  <si>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</si>
  <si>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</si>
  <si>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</si>
  <si>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</si>
  <si>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</si>
  <si>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</si>
  <si>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</si>
  <si>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</si>
  <si>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</si>
  <si>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</si>
  <si>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</si>
  <si>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</si>
  <si>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</si>
  <si>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</si>
  <si>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</si>
  <si>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</si>
  <si>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</si>
  <si>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</si>
  <si>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</si>
  <si>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</si>
  <si>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</si>
  <si>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</si>
  <si>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</si>
  <si>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</si>
  <si>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</si>
  <si>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</si>
  <si>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</si>
  <si>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</si>
  <si>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</si>
  <si>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</si>
  <si>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</si>
  <si>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</si>
  <si>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</si>
  <si>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</si>
  <si>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</si>
  <si>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</si>
  <si>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</si>
  <si>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</si>
  <si>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</si>
  <si>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</si>
  <si>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</si>
  <si>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</si>
  <si>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</si>
  <si>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</si>
  <si>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</si>
  <si>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</si>
  <si>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</si>
  <si>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</si>
  <si>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</si>
  <si>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</si>
  <si>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</si>
  <si>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</si>
  <si>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</si>
  <si>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</si>
  <si>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</si>
  <si>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</si>
  <si>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</si>
  <si>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</si>
  <si>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</si>
  <si>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</si>
  <si>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</si>
  <si>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</si>
  <si>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</si>
  <si>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</si>
  <si>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</si>
  <si>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</si>
  <si>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</si>
  <si>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</si>
  <si>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</si>
  <si>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</si>
  <si>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</si>
  <si>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</si>
  <si>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</si>
  <si>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</si>
  <si>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</si>
  <si>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</si>
  <si>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</si>
  <si>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</si>
  <si>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</si>
  <si>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</si>
  <si>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</si>
  <si>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</si>
  <si>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</si>
  <si>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</si>
  <si>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</si>
  <si>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</si>
  <si>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</si>
  <si>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</si>
  <si>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</si>
  <si>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</si>
  <si>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</si>
  <si>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</si>
  <si>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</si>
  <si>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</si>
  <si>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</si>
  <si>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</si>
  <si>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</si>
  <si>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</si>
  <si>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</si>
  <si>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</si>
  <si>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</si>
  <si>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</si>
  <si>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</si>
  <si>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</si>
  <si>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</si>
  <si>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</si>
  <si>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</si>
  <si>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</si>
  <si>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</si>
  <si>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</si>
  <si>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</si>
  <si>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</si>
  <si>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</si>
  <si>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</si>
  <si>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</si>
  <si>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</si>
  <si>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</si>
  <si>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</si>
  <si>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</si>
  <si>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</si>
  <si>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</si>
  <si>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</si>
  <si>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</si>
  <si>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</si>
  <si>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</si>
  <si>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</si>
  <si>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</si>
  <si>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</si>
  <si>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</si>
  <si>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</si>
  <si>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</si>
  <si>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</si>
  <si>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</si>
  <si>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</si>
  <si>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</si>
  <si>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</si>
  <si>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</si>
  <si>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</si>
  <si>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</si>
  <si>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</si>
  <si>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</si>
  <si>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</si>
  <si>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</si>
  <si>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</si>
  <si>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</si>
  <si>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</si>
  <si>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</si>
  <si>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</si>
  <si>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</si>
  <si>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</si>
  <si>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</si>
  <si>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</si>
  <si>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</si>
  <si>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</si>
  <si>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</si>
  <si>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</si>
  <si>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</si>
  <si>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</si>
  <si>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</si>
  <si>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</si>
  <si>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</si>
  <si>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</si>
  <si>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</si>
  <si>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</si>
  <si>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</si>
  <si>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</si>
  <si>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</si>
  <si>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</si>
  <si>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</si>
  <si>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</si>
  <si>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</si>
  <si>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</si>
  <si>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</si>
  <si>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</si>
  <si>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</si>
  <si>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</si>
  <si>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</si>
  <si>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</si>
  <si>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</si>
  <si>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</si>
  <si>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</si>
  <si>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</si>
  <si>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</si>
  <si>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</si>
  <si>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</si>
  <si>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</si>
  <si>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</si>
  <si>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</si>
  <si>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</si>
  <si>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</si>
  <si>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</si>
  <si>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</si>
  <si>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</si>
  <si>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</si>
  <si>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</si>
  <si>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</si>
  <si>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</si>
  <si>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</si>
  <si>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</si>
  <si>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</si>
  <si>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</si>
  <si>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</si>
  <si>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</si>
  <si>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</si>
  <si>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</si>
  <si>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</si>
  <si>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</si>
  <si>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</si>
  <si>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</si>
  <si>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</si>
  <si>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</si>
  <si>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</si>
  <si>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</si>
  <si>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</si>
  <si>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</si>
  <si>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</si>
  <si>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</si>
  <si>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</si>
  <si>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</si>
  <si>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</si>
  <si>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</si>
  <si>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</si>
  <si>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</si>
  <si>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</si>
  <si>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</si>
  <si>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</si>
  <si>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</si>
  <si>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</si>
  <si>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</si>
  <si>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</si>
  <si>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</si>
  <si>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</si>
  <si>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</si>
  <si>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</si>
  <si>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</si>
  <si>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</si>
  <si>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</si>
  <si>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</si>
  <si>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</si>
  <si>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</si>
  <si>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</si>
  <si>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</si>
  <si>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</si>
  <si>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</si>
  <si>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</si>
  <si>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</si>
  <si>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</si>
  <si>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</si>
  <si>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</si>
  <si>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</si>
  <si>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</si>
  <si>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</si>
  <si>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</si>
  <si>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</si>
  <si>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</si>
  <si>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</si>
  <si>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</si>
  <si>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</si>
  <si>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</si>
  <si>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</si>
  <si>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</si>
  <si>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</si>
  <si>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</si>
  <si>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</si>
  <si>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</si>
  <si>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</si>
  <si>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</si>
  <si>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</si>
  <si>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</si>
  <si>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</si>
  <si>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</si>
  <si>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</si>
  <si>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</si>
  <si>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</si>
  <si>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</si>
  <si>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</si>
  <si>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</si>
  <si>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</si>
  <si>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</si>
  <si>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</si>
  <si>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</si>
  <si>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</si>
  <si>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</si>
  <si>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</si>
  <si>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</si>
  <si>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</si>
  <si>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</si>
  <si>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</si>
  <si>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</si>
  <si>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</si>
  <si>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</si>
  <si>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</si>
  <si>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</si>
  <si>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</si>
  <si>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</si>
  <si>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</si>
  <si>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</si>
  <si>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</si>
  <si>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</si>
  <si>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</si>
  <si>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</si>
  <si>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</si>
  <si>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</si>
  <si>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</si>
  <si>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</si>
  <si>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</si>
  <si>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</si>
  <si>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</si>
  <si>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</si>
  <si>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</si>
  <si>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</si>
  <si>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</si>
  <si>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</si>
  <si>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</si>
  <si>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</si>
  <si>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</si>
  <si>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</si>
  <si>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</si>
  <si>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</si>
  <si>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</si>
  <si>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</si>
  <si>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</si>
  <si>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</si>
  <si>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</si>
  <si>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</si>
  <si>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</si>
  <si>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</si>
  <si>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</si>
  <si>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</si>
  <si>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</si>
  <si>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</si>
  <si>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</si>
  <si>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</si>
  <si>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</si>
  <si>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</si>
  <si>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</si>
  <si>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</si>
  <si>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</si>
  <si>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</si>
  <si>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</si>
  <si>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</si>
  <si>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</si>
  <si>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</si>
  <si>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</si>
  <si>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</si>
  <si>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</si>
  <si>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</si>
  <si>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</si>
  <si>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</si>
  <si>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</si>
  <si>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</si>
  <si>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</si>
  <si>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</si>
  <si>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</si>
  <si>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</si>
  <si>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</si>
  <si>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</si>
  <si>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</si>
  <si>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</si>
  <si>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</si>
  <si>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</si>
  <si>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</si>
  <si>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</si>
  <si>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</si>
  <si>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</si>
  <si>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</si>
  <si>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</si>
  <si>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</si>
  <si>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</si>
  <si>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</si>
  <si>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</si>
  <si>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</si>
  <si>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</si>
  <si>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</si>
  <si>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</si>
  <si>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</si>
  <si>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</si>
  <si>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</si>
  <si>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</si>
  <si>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</si>
  <si>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</si>
  <si>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</si>
  <si>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</si>
  <si>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</si>
  <si>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</si>
  <si>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</si>
  <si>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</si>
  <si>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</si>
  <si>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</si>
  <si>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</si>
  <si>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</si>
  <si>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</si>
  <si>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</si>
  <si>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</si>
  <si>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</si>
  <si>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</si>
  <si>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</si>
  <si>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</si>
  <si>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</si>
  <si>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</si>
  <si>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</si>
  <si>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</si>
  <si>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</si>
  <si>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</si>
  <si>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</si>
  <si>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</si>
  <si>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</si>
  <si>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</si>
  <si>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</si>
  <si>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</si>
  <si>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</si>
  <si>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</si>
  <si>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</si>
  <si>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</si>
  <si>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</si>
  <si>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</si>
  <si>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</si>
  <si>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</si>
  <si>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</si>
  <si>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</si>
  <si>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</si>
  <si>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</si>
  <si>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</si>
  <si>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</si>
  <si>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</si>
  <si>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</si>
  <si>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</si>
  <si>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</si>
  <si>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</si>
  <si>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</si>
  <si>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</si>
  <si>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</si>
  <si>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</si>
  <si>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</si>
  <si>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</si>
  <si>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</si>
  <si>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</si>
  <si>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</si>
  <si>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</si>
  <si>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</si>
  <si>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</si>
  <si>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</si>
  <si>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</si>
  <si>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</si>
  <si>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</si>
  <si>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</si>
  <si>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</si>
  <si>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</si>
  <si>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</si>
  <si>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</si>
  <si>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</si>
  <si>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</si>
  <si>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</si>
  <si>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</si>
  <si>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</si>
  <si>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</si>
  <si>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</si>
  <si>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</si>
  <si>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</si>
  <si>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</si>
  <si>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</si>
  <si>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</si>
  <si>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</si>
  <si>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</si>
  <si>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</si>
  <si>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</si>
  <si>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</si>
  <si>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</si>
  <si>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</si>
  <si>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</si>
  <si>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</si>
  <si>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</si>
  <si>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</si>
  <si>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</si>
  <si>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</si>
  <si>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</si>
  <si>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</si>
  <si>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</si>
  <si>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</si>
  <si>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</si>
  <si>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</si>
  <si>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</si>
  <si>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</si>
  <si>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</si>
  <si>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</si>
  <si>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</si>
  <si>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</si>
  <si>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</si>
  <si>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</si>
  <si>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</si>
  <si>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</si>
  <si>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</si>
  <si>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</si>
  <si>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</si>
  <si>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</si>
  <si>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</si>
  <si>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</si>
  <si>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</si>
  <si>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</si>
  <si>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</si>
  <si>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</si>
  <si>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</si>
  <si>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</si>
  <si>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</si>
  <si>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</si>
  <si>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</si>
  <si>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</si>
  <si>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</si>
  <si>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</si>
  <si>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</si>
  <si>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</si>
  <si>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</si>
  <si>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</si>
  <si>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</si>
  <si>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</si>
  <si>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</si>
  <si>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</si>
  <si>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</si>
  <si>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</si>
  <si>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</si>
  <si>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</si>
  <si>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</si>
  <si>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</si>
  <si>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</si>
  <si>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</si>
  <si>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</si>
  <si>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</si>
  <si>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</si>
  <si>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</si>
  <si>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</si>
  <si>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</si>
  <si>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</si>
  <si>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</si>
  <si>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</si>
  <si>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</si>
  <si>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</si>
  <si>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</si>
  <si>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</si>
  <si>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</si>
  <si>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</si>
  <si>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</si>
  <si>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</si>
  <si>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</si>
  <si>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</si>
  <si>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</si>
  <si>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</si>
  <si>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</si>
  <si>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</si>
  <si>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</si>
  <si>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</si>
  <si>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</si>
  <si>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</si>
  <si>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</si>
  <si>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</si>
  <si>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</si>
  <si>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</si>
  <si>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</si>
  <si>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</si>
  <si>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</si>
  <si>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</si>
  <si>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</si>
  <si>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</si>
  <si>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</si>
  <si>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</si>
  <si>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</si>
  <si>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</si>
  <si>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</si>
  <si>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</si>
  <si>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</si>
  <si>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</si>
  <si>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</si>
  <si>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</si>
  <si>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</si>
  <si>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</si>
  <si>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</si>
  <si>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</si>
  <si>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</si>
  <si>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</si>
  <si>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</si>
  <si>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</si>
  <si>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</si>
  <si>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</si>
  <si>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</si>
  <si>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</si>
  <si>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</si>
  <si>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</si>
  <si>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</si>
  <si>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</si>
  <si>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</si>
  <si>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</si>
  <si>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</si>
  <si>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</si>
  <si>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</si>
  <si>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</si>
  <si>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</si>
  <si>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</si>
  <si>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</si>
  <si>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</si>
  <si>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</si>
  <si>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</si>
  <si>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</si>
  <si>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</si>
  <si>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</si>
  <si>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</si>
  <si>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</si>
  <si>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</si>
  <si>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</si>
  <si>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</si>
  <si>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</si>
  <si>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</si>
  <si>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</si>
  <si>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</si>
  <si>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</si>
  <si>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</si>
  <si>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</si>
  <si>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</si>
  <si>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</si>
  <si>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</si>
  <si>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</si>
  <si>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</si>
  <si>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</si>
  <si>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</si>
  <si>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</si>
  <si>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</si>
  <si>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</si>
  <si>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</si>
  <si>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</si>
  <si>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</si>
  <si>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</si>
  <si>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</si>
  <si>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</si>
  <si>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</si>
  <si>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</si>
  <si>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</si>
  <si>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</si>
  <si>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</si>
  <si>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</si>
  <si>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</si>
  <si>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</si>
  <si>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</si>
  <si>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</si>
  <si>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</si>
  <si>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</si>
  <si>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</si>
  <si>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</si>
  <si>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</si>
  <si>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</si>
  <si>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</si>
  <si>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</si>
  <si>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</si>
  <si>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</si>
  <si>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</si>
  <si>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</si>
  <si>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</si>
  <si>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</si>
  <si>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73040</t>
  </si>
  <si>
    <t>KORTESSEM</t>
  </si>
  <si>
    <t>Paarden&amp;pony's 200 - 600 kg</t>
  </si>
  <si>
    <t>Paarden&amp;pony's &lt; 200 kg</t>
  </si>
  <si>
    <t>referentietaak LNE (2017); Jaarverslag De Lijn (2014)</t>
  </si>
  <si>
    <t>op basis van VEA (maart 2018) en Inventaris Hernieuwbare Energiebronnen (juni 2018)</t>
  </si>
  <si>
    <t>VEA (maart 2016)</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</si>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</sst>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78406.819734423014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78406.819734423014</c:v>
                </c:pt>
                <c:pt idx="1">
                  <c:v>13805.415025355771</c:v>
                </c:pt>
                <c:pt idx="2">
                  <c:v>455.05700000000002</c:v>
                </c:pt>
                <c:pt idx="3">
                  <c:v>23917.982997041618</c:v>
                </c:pt>
                <c:pt idx="4">
                  <c:v>2813.4162608466131</c:v>
                </c:pt>
                <c:pt idx="5">
                  <c:v>54974.235794309476</c:v>
                </c:pt>
                <c:pt idx="6">
                  <c:v>953.39542466015541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14524.295469233439</c:v>
                </c:pt>
                <c:pt idx="1">
                  <c:v>1918.6623992396057</c:v>
                </c:pt>
                <c:pt idx="2">
                  <c:v>41.731361762443932</c:v>
                </c:pt>
                <c:pt idx="3">
                  <c:v>1789.1802417335202</c:v>
                </c:pt>
                <c:pt idx="4">
                  <c:v>454.46363940251217</c:v>
                </c:pt>
                <c:pt idx="5">
                  <c:v>13768.458903770877</c:v>
                </c:pt>
                <c:pt idx="6">
                  <c:v>240.82313692291564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14524.295469233439</c:v>
                </c:pt>
                <c:pt idx="1">
                  <c:v>1918.6623992396057</c:v>
                </c:pt>
                <c:pt idx="2">
                  <c:v>41.731361762443932</c:v>
                </c:pt>
                <c:pt idx="3">
                  <c:v>1789.1802417335202</c:v>
                </c:pt>
                <c:pt idx="4">
                  <c:v>454.46363940251217</c:v>
                </c:pt>
                <c:pt idx="5">
                  <c:v>13768.458903770877</c:v>
                </c:pt>
                <c:pt idx="6">
                  <c:v>240.82313692291564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73040</v>
      </c>
      <c r="B6" s="416"/>
      <c r="C6" s="417"/>
    </row>
    <row r="7" spans="1:7" s="414" customFormat="1" ht="15.75" customHeight="1">
      <c r="A7" s="418" t="str">
        <f>txtMunicipality</f>
        <v>KORTESSEM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3376</v>
      </c>
      <c r="C9" s="342">
        <v>3490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1944</v>
      </c>
    </row>
    <row r="15" spans="1:6">
      <c r="A15" s="348" t="s">
        <v>184</v>
      </c>
      <c r="B15" s="334">
        <v>553</v>
      </c>
    </row>
    <row r="16" spans="1:6">
      <c r="A16" s="348" t="s">
        <v>6</v>
      </c>
      <c r="B16" s="334">
        <v>689</v>
      </c>
    </row>
    <row r="17" spans="1:6">
      <c r="A17" s="348" t="s">
        <v>7</v>
      </c>
      <c r="B17" s="334">
        <v>263</v>
      </c>
    </row>
    <row r="18" spans="1:6">
      <c r="A18" s="348" t="s">
        <v>8</v>
      </c>
      <c r="B18" s="334">
        <v>599</v>
      </c>
    </row>
    <row r="19" spans="1:6">
      <c r="A19" s="348" t="s">
        <v>9</v>
      </c>
      <c r="B19" s="334">
        <v>705</v>
      </c>
    </row>
    <row r="20" spans="1:6">
      <c r="A20" s="348" t="s">
        <v>10</v>
      </c>
      <c r="B20" s="334">
        <v>348</v>
      </c>
    </row>
    <row r="21" spans="1:6">
      <c r="A21" s="348" t="s">
        <v>11</v>
      </c>
      <c r="B21" s="334">
        <v>418</v>
      </c>
    </row>
    <row r="22" spans="1:6">
      <c r="A22" s="348" t="s">
        <v>12</v>
      </c>
      <c r="B22" s="334">
        <v>3237</v>
      </c>
    </row>
    <row r="23" spans="1:6">
      <c r="A23" s="348" t="s">
        <v>13</v>
      </c>
      <c r="B23" s="334">
        <v>45</v>
      </c>
    </row>
    <row r="24" spans="1:6">
      <c r="A24" s="348" t="s">
        <v>14</v>
      </c>
      <c r="B24" s="334">
        <v>2</v>
      </c>
    </row>
    <row r="25" spans="1:6">
      <c r="A25" s="348" t="s">
        <v>15</v>
      </c>
      <c r="B25" s="334">
        <v>259</v>
      </c>
    </row>
    <row r="26" spans="1:6">
      <c r="A26" s="348" t="s">
        <v>16</v>
      </c>
      <c r="B26" s="334">
        <v>63</v>
      </c>
    </row>
    <row r="27" spans="1:6">
      <c r="A27" s="348" t="s">
        <v>17</v>
      </c>
      <c r="B27" s="334">
        <v>0</v>
      </c>
    </row>
    <row r="28" spans="1:6" s="356" customFormat="1">
      <c r="A28" s="355" t="s">
        <v>18</v>
      </c>
      <c r="B28" s="355">
        <v>63955</v>
      </c>
    </row>
    <row r="29" spans="1:6">
      <c r="A29" s="355" t="s">
        <v>828</v>
      </c>
      <c r="B29" s="355">
        <v>107</v>
      </c>
      <c r="C29" s="356"/>
      <c r="D29" s="356"/>
      <c r="E29" s="356"/>
      <c r="F29" s="356"/>
    </row>
    <row r="30" spans="1:6">
      <c r="A30" s="341" t="s">
        <v>829</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5410</v>
      </c>
    </row>
    <row r="39" spans="1:6">
      <c r="A39" s="348" t="s">
        <v>30</v>
      </c>
      <c r="B39" s="348" t="s">
        <v>31</v>
      </c>
      <c r="C39" s="334">
        <v>1334</v>
      </c>
      <c r="D39" s="334">
        <v>20271074</v>
      </c>
      <c r="E39" s="334">
        <v>3281</v>
      </c>
      <c r="F39" s="334">
        <v>12018361</v>
      </c>
    </row>
    <row r="40" spans="1:6">
      <c r="A40" s="348" t="s">
        <v>30</v>
      </c>
      <c r="B40" s="348" t="s">
        <v>29</v>
      </c>
      <c r="C40" s="334">
        <v>0</v>
      </c>
      <c r="D40" s="334">
        <v>0</v>
      </c>
      <c r="E40" s="334">
        <v>0</v>
      </c>
      <c r="F40" s="334">
        <v>0</v>
      </c>
    </row>
    <row r="41" spans="1:6">
      <c r="A41" s="348" t="s">
        <v>32</v>
      </c>
      <c r="B41" s="348" t="s">
        <v>33</v>
      </c>
      <c r="C41" s="334">
        <v>19</v>
      </c>
      <c r="D41" s="334">
        <v>365388</v>
      </c>
      <c r="E41" s="334">
        <v>67</v>
      </c>
      <c r="F41" s="334">
        <v>505772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262572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307230</v>
      </c>
      <c r="E48" s="334">
        <v>3</v>
      </c>
      <c r="F48" s="334">
        <v>137972</v>
      </c>
    </row>
    <row r="49" spans="1:6">
      <c r="A49" s="348" t="s">
        <v>32</v>
      </c>
      <c r="B49" s="348" t="s">
        <v>40</v>
      </c>
      <c r="C49" s="334">
        <v>0</v>
      </c>
      <c r="D49" s="334">
        <v>0</v>
      </c>
      <c r="E49" s="334">
        <v>0</v>
      </c>
      <c r="F49" s="334">
        <v>0</v>
      </c>
    </row>
    <row r="50" spans="1:6">
      <c r="A50" s="348" t="s">
        <v>32</v>
      </c>
      <c r="B50" s="348" t="s">
        <v>41</v>
      </c>
      <c r="C50" s="334">
        <v>0</v>
      </c>
      <c r="D50" s="334">
        <v>0</v>
      </c>
      <c r="E50" s="334">
        <v>8</v>
      </c>
      <c r="F50" s="334">
        <v>127103</v>
      </c>
    </row>
    <row r="51" spans="1:6">
      <c r="A51" s="348" t="s">
        <v>42</v>
      </c>
      <c r="B51" s="348" t="s">
        <v>43</v>
      </c>
      <c r="C51" s="334">
        <v>7</v>
      </c>
      <c r="D51" s="334">
        <v>123844</v>
      </c>
      <c r="E51" s="334">
        <v>61</v>
      </c>
      <c r="F51" s="334">
        <v>2143049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26</v>
      </c>
      <c r="D56" s="334">
        <v>526772</v>
      </c>
      <c r="E56" s="334">
        <v>85</v>
      </c>
      <c r="F56" s="334">
        <v>451930</v>
      </c>
    </row>
    <row r="57" spans="1:6">
      <c r="A57" s="348" t="s">
        <v>49</v>
      </c>
      <c r="B57" s="348" t="s">
        <v>50</v>
      </c>
      <c r="C57" s="334">
        <v>14</v>
      </c>
      <c r="D57" s="334">
        <v>383241</v>
      </c>
      <c r="E57" s="334">
        <v>40</v>
      </c>
      <c r="F57" s="334">
        <v>1393997</v>
      </c>
    </row>
    <row r="58" spans="1:6">
      <c r="A58" s="348" t="s">
        <v>49</v>
      </c>
      <c r="B58" s="348" t="s">
        <v>51</v>
      </c>
      <c r="C58" s="334">
        <v>13</v>
      </c>
      <c r="D58" s="334">
        <v>738810</v>
      </c>
      <c r="E58" s="334">
        <v>16</v>
      </c>
      <c r="F58" s="334">
        <v>351618</v>
      </c>
    </row>
    <row r="59" spans="1:6">
      <c r="A59" s="348" t="s">
        <v>49</v>
      </c>
      <c r="B59" s="348" t="s">
        <v>52</v>
      </c>
      <c r="C59" s="334">
        <v>25</v>
      </c>
      <c r="D59" s="334">
        <v>694354</v>
      </c>
      <c r="E59" s="334">
        <v>76</v>
      </c>
      <c r="F59" s="334">
        <v>2162103</v>
      </c>
    </row>
    <row r="60" spans="1:6">
      <c r="A60" s="348" t="s">
        <v>49</v>
      </c>
      <c r="B60" s="348" t="s">
        <v>53</v>
      </c>
      <c r="C60" s="334">
        <v>11</v>
      </c>
      <c r="D60" s="334">
        <v>450444</v>
      </c>
      <c r="E60" s="334">
        <v>23</v>
      </c>
      <c r="F60" s="334">
        <v>387086</v>
      </c>
    </row>
    <row r="61" spans="1:6">
      <c r="A61" s="348" t="s">
        <v>49</v>
      </c>
      <c r="B61" s="348" t="s">
        <v>54</v>
      </c>
      <c r="C61" s="334">
        <v>52</v>
      </c>
      <c r="D61" s="334">
        <v>2809278</v>
      </c>
      <c r="E61" s="334">
        <v>164</v>
      </c>
      <c r="F61" s="334">
        <v>2095087</v>
      </c>
    </row>
    <row r="62" spans="1:6">
      <c r="A62" s="348" t="s">
        <v>49</v>
      </c>
      <c r="B62" s="348" t="s">
        <v>55</v>
      </c>
      <c r="C62" s="334">
        <v>4</v>
      </c>
      <c r="D62" s="334">
        <v>570378</v>
      </c>
      <c r="E62" s="334">
        <v>3</v>
      </c>
      <c r="F62" s="334">
        <v>229784</v>
      </c>
    </row>
    <row r="63" spans="1:6">
      <c r="A63" s="348" t="s">
        <v>49</v>
      </c>
      <c r="B63" s="348" t="s">
        <v>29</v>
      </c>
      <c r="C63" s="334">
        <v>0</v>
      </c>
      <c r="D63" s="334">
        <v>0</v>
      </c>
      <c r="E63" s="334">
        <v>2</v>
      </c>
      <c r="F63" s="334">
        <v>3034</v>
      </c>
    </row>
    <row r="64" spans="1:6">
      <c r="A64" s="348" t="s">
        <v>56</v>
      </c>
      <c r="B64" s="348" t="s">
        <v>57</v>
      </c>
      <c r="C64" s="334">
        <v>0</v>
      </c>
      <c r="D64" s="334">
        <v>0</v>
      </c>
      <c r="E64" s="334">
        <v>0</v>
      </c>
      <c r="F64" s="334">
        <v>0</v>
      </c>
    </row>
    <row r="65" spans="1:6">
      <c r="A65" s="348" t="s">
        <v>56</v>
      </c>
      <c r="B65" s="348" t="s">
        <v>29</v>
      </c>
      <c r="C65" s="334">
        <v>2</v>
      </c>
      <c r="D65" s="334">
        <v>36564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62710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50401164</v>
      </c>
      <c r="E73" s="477">
        <v>51832730.092894502</v>
      </c>
    </row>
    <row r="74" spans="1:6">
      <c r="A74" s="348" t="s">
        <v>64</v>
      </c>
      <c r="B74" s="348" t="s">
        <v>714</v>
      </c>
      <c r="C74" s="1229" t="s">
        <v>716</v>
      </c>
      <c r="D74" s="477">
        <v>4697891.9903232148</v>
      </c>
      <c r="E74" s="477">
        <v>4743005.5750954244</v>
      </c>
    </row>
    <row r="75" spans="1:6">
      <c r="A75" s="348" t="s">
        <v>65</v>
      </c>
      <c r="B75" s="348" t="s">
        <v>713</v>
      </c>
      <c r="C75" s="1229" t="s">
        <v>717</v>
      </c>
      <c r="D75" s="477">
        <v>14058914</v>
      </c>
      <c r="E75" s="477">
        <v>14541089.713584065</v>
      </c>
    </row>
    <row r="76" spans="1:6">
      <c r="A76" s="348" t="s">
        <v>65</v>
      </c>
      <c r="B76" s="348" t="s">
        <v>714</v>
      </c>
      <c r="C76" s="1229" t="s">
        <v>718</v>
      </c>
      <c r="D76" s="477">
        <v>10408.1</v>
      </c>
      <c r="E76" s="477">
        <v>10540.797064680391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254770.01935357056</v>
      </c>
      <c r="C83" s="477">
        <v>250426.9823515949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2554.6551244381017</v>
      </c>
    </row>
    <row r="92" spans="1:6">
      <c r="A92" s="341" t="s">
        <v>69</v>
      </c>
      <c r="B92" s="342">
        <v>862.77358400392507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24836.084605098087</v>
      </c>
      <c r="C3" s="43" t="s">
        <v>170</v>
      </c>
      <c r="D3" s="43"/>
      <c r="E3" s="154"/>
      <c r="F3" s="43"/>
      <c r="G3" s="43"/>
      <c r="H3" s="43"/>
      <c r="I3" s="43"/>
      <c r="J3" s="43"/>
      <c r="K3" s="96"/>
    </row>
    <row r="4" spans="1:11">
      <c r="A4" s="384" t="s">
        <v>171</v>
      </c>
      <c r="B4" s="49">
        <f>IF(ISERROR('SEAP template'!B69),0,'SEAP template'!B69)</f>
        <v>14541.428708442027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2.4938105543532547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9.1705790181106833E-2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3.5661894456467462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15907.5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2.2418289773042566E-4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9.1705790181106833E-2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41.731361762443932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12018.361000000001</v>
      </c>
      <c r="C5" s="17">
        <f>IF(ISERROR('Eigen informatie GS &amp; warmtenet'!B57),0,'Eigen informatie GS &amp; warmtenet'!B57)</f>
        <v>0</v>
      </c>
      <c r="D5" s="30">
        <f>(SUM(HH_hh_gas_kWh,HH_rest_gas_kWh)/1000)*0.902</f>
        <v>18284.508748</v>
      </c>
      <c r="E5" s="17">
        <f>B46*B57</f>
        <v>3090.6084744801847</v>
      </c>
      <c r="F5" s="17">
        <f>B51*B62</f>
        <v>32931.934904182875</v>
      </c>
      <c r="G5" s="18"/>
      <c r="H5" s="17"/>
      <c r="I5" s="17"/>
      <c r="J5" s="17">
        <f>B50*B61+C50*C61</f>
        <v>0</v>
      </c>
      <c r="K5" s="17"/>
      <c r="L5" s="17"/>
      <c r="M5" s="17"/>
      <c r="N5" s="17">
        <f>B48*B59+C48*C59</f>
        <v>8790.294816655196</v>
      </c>
      <c r="O5" s="17">
        <f>B69*B70*B71</f>
        <v>145.39000000000001</v>
      </c>
      <c r="P5" s="17">
        <f>B77*B78*B79/1000-B77*B78*B79/1000/B80</f>
        <v>591.06666666666661</v>
      </c>
    </row>
    <row r="6" spans="1:16">
      <c r="A6" s="16" t="s">
        <v>631</v>
      </c>
      <c r="B6" s="844">
        <f>kWh_PV_kleiner_dan_10kW</f>
        <v>2554.6551244381017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14573.016124438102</v>
      </c>
      <c r="C8" s="21">
        <f>C5</f>
        <v>0</v>
      </c>
      <c r="D8" s="21">
        <f>D5</f>
        <v>18284.508748</v>
      </c>
      <c r="E8" s="21">
        <f>E5</f>
        <v>3090.6084744801847</v>
      </c>
      <c r="F8" s="21">
        <f>F5</f>
        <v>32931.934904182875</v>
      </c>
      <c r="G8" s="21"/>
      <c r="H8" s="21"/>
      <c r="I8" s="21"/>
      <c r="J8" s="21">
        <f>J5</f>
        <v>0</v>
      </c>
      <c r="K8" s="21"/>
      <c r="L8" s="21">
        <f>L5</f>
        <v>0</v>
      </c>
      <c r="M8" s="21">
        <f>M5</f>
        <v>0</v>
      </c>
      <c r="N8" s="21">
        <f>N5</f>
        <v>8790.294816655196</v>
      </c>
      <c r="O8" s="21">
        <f>O5</f>
        <v>145.39000000000001</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9.1705790181106833E-2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1336.4299590136072</v>
      </c>
      <c r="C12" s="23">
        <f ca="1">C10*C8</f>
        <v>0</v>
      </c>
      <c r="D12" s="23">
        <f>D8*D10</f>
        <v>3693.4707670960001</v>
      </c>
      <c r="E12" s="23">
        <f>E10*E8</f>
        <v>701.56812370700197</v>
      </c>
      <c r="F12" s="23">
        <f>F10*F8</f>
        <v>8792.8266194168282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3376</v>
      </c>
      <c r="C28" s="36"/>
      <c r="D28" s="228"/>
    </row>
    <row r="29" spans="1:7" s="15" customFormat="1">
      <c r="A29" s="230" t="s">
        <v>741</v>
      </c>
      <c r="B29" s="37">
        <f>SUM(HH_hh_gas_aantal,HH_rest_gas_aantal)</f>
        <v>1334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1334</v>
      </c>
      <c r="C32" s="167">
        <f>IF(ISERROR(B32/SUM($B$32,$B$34,$B$35,$B$36,$B$38,$B$39)*100),0,B32/SUM($B$32,$B$34,$B$35,$B$36,$B$38,$B$39)*100)</f>
        <v>39.880418535127056</v>
      </c>
      <c r="D32" s="233"/>
      <c r="G32" s="15"/>
    </row>
    <row r="33" spans="1:7">
      <c r="A33" s="171" t="s">
        <v>72</v>
      </c>
      <c r="B33" s="34" t="s">
        <v>111</v>
      </c>
      <c r="C33" s="167"/>
      <c r="D33" s="233"/>
      <c r="G33" s="15"/>
    </row>
    <row r="34" spans="1:7">
      <c r="A34" s="171" t="s">
        <v>73</v>
      </c>
      <c r="B34" s="33">
        <f>IF((($B$28-$B$32-$B$39-$B$77-$B$38)*C20/100)&lt;0,0,($B$28-$B$32-$B$39-$B$77-$B$38)*C20/100)</f>
        <v>207.13846153846157</v>
      </c>
      <c r="C34" s="167">
        <f>IF(ISERROR(B34/SUM($B$32,$B$34,$B$35,$B$36,$B$38,$B$39)*100),0,B34/SUM($B$32,$B$34,$B$35,$B$36,$B$38,$B$39)*100)</f>
        <v>6.1924801655743371</v>
      </c>
      <c r="D34" s="233"/>
      <c r="G34" s="15"/>
    </row>
    <row r="35" spans="1:7">
      <c r="A35" s="171" t="s">
        <v>74</v>
      </c>
      <c r="B35" s="33">
        <f>IF((($B$28-$B$32-$B$39-$B$77-$B$38)*C21/100)&lt;0,0,($B$28-$B$32-$B$39-$B$77-$B$38)*C21/100)</f>
        <v>310.70769230769235</v>
      </c>
      <c r="C35" s="167">
        <f>IF(ISERROR(B35/SUM($B$32,$B$34,$B$35,$B$36,$B$38,$B$39)*100),0,B35/SUM($B$32,$B$34,$B$35,$B$36,$B$38,$B$39)*100)</f>
        <v>9.2887202483615052</v>
      </c>
      <c r="D35" s="233"/>
      <c r="G35" s="15"/>
    </row>
    <row r="36" spans="1:7">
      <c r="A36" s="171" t="s">
        <v>75</v>
      </c>
      <c r="B36" s="33">
        <f>IF((($B$28-$B$32-$B$39-$B$77-$B$38)*C22/100)&lt;0,0,($B$28-$B$32-$B$39-$B$77-$B$38)*C22/100)</f>
        <v>155.35384615384618</v>
      </c>
      <c r="C36" s="167">
        <f>IF(ISERROR(B36/SUM($B$32,$B$34,$B$35,$B$36,$B$38,$B$39)*100),0,B36/SUM($B$32,$B$34,$B$35,$B$36,$B$38,$B$39)*100)</f>
        <v>4.6443601241807526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1337.8</v>
      </c>
      <c r="C39" s="167">
        <f>IF(ISERROR(B39/SUM($B$32,$B$34,$B$35,$B$36,$B$38,$B$39)*100),0,B39/SUM($B$32,$B$34,$B$35,$B$36,$B$38,$B$39)*100)</f>
        <v>39.994020926756349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1334</v>
      </c>
      <c r="C44" s="34" t="s">
        <v>111</v>
      </c>
      <c r="D44" s="174"/>
    </row>
    <row r="45" spans="1:7">
      <c r="A45" s="171" t="s">
        <v>72</v>
      </c>
      <c r="B45" s="33" t="str">
        <f t="shared" si="0"/>
        <v>-</v>
      </c>
      <c r="C45" s="34" t="s">
        <v>111</v>
      </c>
      <c r="D45" s="174"/>
    </row>
    <row r="46" spans="1:7">
      <c r="A46" s="171" t="s">
        <v>73</v>
      </c>
      <c r="B46" s="33">
        <f t="shared" si="0"/>
        <v>207.13846153846157</v>
      </c>
      <c r="C46" s="34" t="s">
        <v>111</v>
      </c>
      <c r="D46" s="174"/>
    </row>
    <row r="47" spans="1:7">
      <c r="A47" s="171" t="s">
        <v>74</v>
      </c>
      <c r="B47" s="33">
        <f t="shared" si="0"/>
        <v>310.70769230769235</v>
      </c>
      <c r="C47" s="34" t="s">
        <v>111</v>
      </c>
      <c r="D47" s="174"/>
    </row>
    <row r="48" spans="1:7">
      <c r="A48" s="171" t="s">
        <v>75</v>
      </c>
      <c r="B48" s="33">
        <f t="shared" si="0"/>
        <v>155.35384615384618</v>
      </c>
      <c r="C48" s="33">
        <f>B48*10</f>
        <v>1553.5384615384619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1337.8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6622.7089999999998</v>
      </c>
      <c r="C5" s="17">
        <f>IF(ISERROR('Eigen informatie GS &amp; warmtenet'!B58),0,'Eigen informatie GS &amp; warmtenet'!B58)</f>
        <v>0</v>
      </c>
      <c r="D5" s="30">
        <f>SUM(D6:D12)</f>
        <v>5093.1475099999998</v>
      </c>
      <c r="E5" s="17">
        <f>SUM(E6:E12)</f>
        <v>50.784833974911258</v>
      </c>
      <c r="F5" s="17">
        <f>SUM(F6:F12)</f>
        <v>1014.8976888493368</v>
      </c>
      <c r="G5" s="18"/>
      <c r="H5" s="17"/>
      <c r="I5" s="17"/>
      <c r="J5" s="17">
        <f>SUM(J6:J12)</f>
        <v>0</v>
      </c>
      <c r="K5" s="17"/>
      <c r="L5" s="17"/>
      <c r="M5" s="17"/>
      <c r="N5" s="17">
        <f>SUM(N6:N12)</f>
        <v>1023.8759925315247</v>
      </c>
      <c r="O5" s="17">
        <f>B38*B39*B40</f>
        <v>0</v>
      </c>
      <c r="P5" s="17">
        <f>B46*B47*B48/1000-B46*B47*B48/1000/B49</f>
        <v>0</v>
      </c>
      <c r="R5" s="32"/>
    </row>
    <row r="6" spans="1:18">
      <c r="A6" s="32" t="s">
        <v>54</v>
      </c>
      <c r="B6" s="37">
        <f>B26</f>
        <v>2095.087</v>
      </c>
      <c r="C6" s="33"/>
      <c r="D6" s="37">
        <f>IF(ISERROR(TER_kantoor_gas_kWh/1000),0,TER_kantoor_gas_kWh/1000)*0.902</f>
        <v>2533.9687559999998</v>
      </c>
      <c r="E6" s="33">
        <f>$C$26*'E Balans VL '!I12/100/3.6*1000000</f>
        <v>6.0697744318489306</v>
      </c>
      <c r="F6" s="33">
        <f>$C$26*('E Balans VL '!L12+'E Balans VL '!N12)/100/3.6*1000000</f>
        <v>237.11769005462526</v>
      </c>
      <c r="G6" s="34"/>
      <c r="H6" s="33"/>
      <c r="I6" s="33"/>
      <c r="J6" s="33">
        <f>$C$26*('E Balans VL '!D12+'E Balans VL '!E12)/100/3.6*1000000</f>
        <v>0</v>
      </c>
      <c r="K6" s="33"/>
      <c r="L6" s="33"/>
      <c r="M6" s="33"/>
      <c r="N6" s="33">
        <f>$C$26*'E Balans VL '!Y12/100/3.6*1000000</f>
        <v>20.970277140972801</v>
      </c>
      <c r="O6" s="33"/>
      <c r="P6" s="33"/>
      <c r="R6" s="32"/>
    </row>
    <row r="7" spans="1:18">
      <c r="A7" s="32" t="s">
        <v>53</v>
      </c>
      <c r="B7" s="37">
        <f t="shared" ref="B7:B12" si="0">B27</f>
        <v>387.08600000000001</v>
      </c>
      <c r="C7" s="33"/>
      <c r="D7" s="37">
        <f>IF(ISERROR(TER_horeca_gas_kWh/1000),0,TER_horeca_gas_kWh/1000)*0.902</f>
        <v>406.30048800000003</v>
      </c>
      <c r="E7" s="33">
        <f>$C$27*'E Balans VL '!I9/100/3.6*1000000</f>
        <v>16.248788783090522</v>
      </c>
      <c r="F7" s="33">
        <f>$C$27*('E Balans VL '!L9+'E Balans VL '!N9)/100/3.6*1000000</f>
        <v>83.173365046049142</v>
      </c>
      <c r="G7" s="34"/>
      <c r="H7" s="33"/>
      <c r="I7" s="33"/>
      <c r="J7" s="33">
        <f>$C$27*('E Balans VL '!D9+'E Balans VL '!E9)/100/3.6*1000000</f>
        <v>0</v>
      </c>
      <c r="K7" s="33"/>
      <c r="L7" s="33"/>
      <c r="M7" s="33"/>
      <c r="N7" s="33">
        <f>$C$27*'E Balans VL '!Y9/100/3.6*1000000</f>
        <v>9.9748677010124395E-2</v>
      </c>
      <c r="O7" s="33"/>
      <c r="P7" s="33"/>
      <c r="R7" s="32"/>
    </row>
    <row r="8" spans="1:18">
      <c r="A8" s="6" t="s">
        <v>52</v>
      </c>
      <c r="B8" s="37">
        <f t="shared" si="0"/>
        <v>2162.1030000000001</v>
      </c>
      <c r="C8" s="33"/>
      <c r="D8" s="37">
        <f>IF(ISERROR(TER_handel_gas_kWh/1000),0,TER_handel_gas_kWh/1000)*0.902</f>
        <v>626.30730800000003</v>
      </c>
      <c r="E8" s="33">
        <f>$C$28*'E Balans VL '!I13/100/3.6*1000000</f>
        <v>23.222785687174184</v>
      </c>
      <c r="F8" s="33">
        <f>$C$28*('E Balans VL '!L13+'E Balans VL '!N13)/100/3.6*1000000</f>
        <v>279.90208762851177</v>
      </c>
      <c r="G8" s="34"/>
      <c r="H8" s="33"/>
      <c r="I8" s="33"/>
      <c r="J8" s="33">
        <f>$C$28*('E Balans VL '!D13+'E Balans VL '!E13)/100/3.6*1000000</f>
        <v>0</v>
      </c>
      <c r="K8" s="33"/>
      <c r="L8" s="33"/>
      <c r="M8" s="33"/>
      <c r="N8" s="33">
        <f>$C$28*'E Balans VL '!Y13/100/3.6*1000000</f>
        <v>17.539097591956821</v>
      </c>
      <c r="O8" s="33"/>
      <c r="P8" s="33"/>
      <c r="R8" s="32"/>
    </row>
    <row r="9" spans="1:18">
      <c r="A9" s="32" t="s">
        <v>51</v>
      </c>
      <c r="B9" s="37">
        <f t="shared" si="0"/>
        <v>351.61799999999999</v>
      </c>
      <c r="C9" s="33"/>
      <c r="D9" s="37">
        <f>IF(ISERROR(TER_gezond_gas_kWh/1000),0,TER_gezond_gas_kWh/1000)*0.902</f>
        <v>666.40661999999998</v>
      </c>
      <c r="E9" s="33">
        <f>$C$29*'E Balans VL '!I10/100/3.6*1000000</f>
        <v>0.27991067004296266</v>
      </c>
      <c r="F9" s="33">
        <f>$C$29*('E Balans VL '!L10+'E Balans VL '!N10)/100/3.6*1000000</f>
        <v>42.744249237778149</v>
      </c>
      <c r="G9" s="34"/>
      <c r="H9" s="33"/>
      <c r="I9" s="33"/>
      <c r="J9" s="33">
        <f>$C$29*('E Balans VL '!D10+'E Balans VL '!E10)/100/3.6*1000000</f>
        <v>0</v>
      </c>
      <c r="K9" s="33"/>
      <c r="L9" s="33"/>
      <c r="M9" s="33"/>
      <c r="N9" s="33">
        <f>$C$29*'E Balans VL '!Y10/100/3.6*1000000</f>
        <v>2.8402770489315339</v>
      </c>
      <c r="O9" s="33"/>
      <c r="P9" s="33"/>
      <c r="R9" s="32"/>
    </row>
    <row r="10" spans="1:18">
      <c r="A10" s="32" t="s">
        <v>50</v>
      </c>
      <c r="B10" s="37">
        <f t="shared" si="0"/>
        <v>1393.9970000000001</v>
      </c>
      <c r="C10" s="33"/>
      <c r="D10" s="37">
        <f>IF(ISERROR(TER_ander_gas_kWh/1000),0,TER_ander_gas_kWh/1000)*0.902</f>
        <v>345.68338199999999</v>
      </c>
      <c r="E10" s="33">
        <f>$C$30*'E Balans VL '!I14/100/3.6*1000000</f>
        <v>4.7773009502151673</v>
      </c>
      <c r="F10" s="33">
        <f>$C$30*('E Balans VL '!L14+'E Balans VL '!N14)/100/3.6*1000000</f>
        <v>311.36228443454593</v>
      </c>
      <c r="G10" s="34"/>
      <c r="H10" s="33"/>
      <c r="I10" s="33"/>
      <c r="J10" s="33">
        <f>$C$30*('E Balans VL '!D14+'E Balans VL '!E14)/100/3.6*1000000</f>
        <v>0</v>
      </c>
      <c r="K10" s="33"/>
      <c r="L10" s="33"/>
      <c r="M10" s="33"/>
      <c r="N10" s="33">
        <f>$C$30*'E Balans VL '!Y14/100/3.6*1000000</f>
        <v>981.93910205675354</v>
      </c>
      <c r="O10" s="33"/>
      <c r="P10" s="33"/>
      <c r="R10" s="32"/>
    </row>
    <row r="11" spans="1:18">
      <c r="A11" s="32" t="s">
        <v>55</v>
      </c>
      <c r="B11" s="37">
        <f t="shared" si="0"/>
        <v>229.78399999999999</v>
      </c>
      <c r="C11" s="33"/>
      <c r="D11" s="37">
        <f>IF(ISERROR(TER_onderwijs_gas_kWh/1000),0,TER_onderwijs_gas_kWh/1000)*0.902</f>
        <v>514.48095600000011</v>
      </c>
      <c r="E11" s="33">
        <f>$C$31*'E Balans VL '!I11/100/3.6*1000000</f>
        <v>0.15884260240975218</v>
      </c>
      <c r="F11" s="33">
        <f>$C$31*('E Balans VL '!L11+'E Balans VL '!N11)/100/3.6*1000000</f>
        <v>60.150776427694169</v>
      </c>
      <c r="G11" s="34"/>
      <c r="H11" s="33"/>
      <c r="I11" s="33"/>
      <c r="J11" s="33">
        <f>$C$31*('E Balans VL '!D11+'E Balans VL '!E11)/100/3.6*1000000</f>
        <v>0</v>
      </c>
      <c r="K11" s="33"/>
      <c r="L11" s="33"/>
      <c r="M11" s="33"/>
      <c r="N11" s="33">
        <f>$C$31*'E Balans VL '!Y11/100/3.6*1000000</f>
        <v>0.22873040052561666</v>
      </c>
      <c r="O11" s="33"/>
      <c r="P11" s="33"/>
      <c r="R11" s="32"/>
    </row>
    <row r="12" spans="1:18">
      <c r="A12" s="32" t="s">
        <v>260</v>
      </c>
      <c r="B12" s="37">
        <f t="shared" si="0"/>
        <v>3.0339999999999998</v>
      </c>
      <c r="C12" s="33"/>
      <c r="D12" s="37">
        <f>IF(ISERROR(TER_rest_gas_kWh/1000),0,TER_rest_gas_kWh/1000)*0.902</f>
        <v>0</v>
      </c>
      <c r="E12" s="33">
        <f>$C$32*'E Balans VL '!I8/100/3.6*1000000</f>
        <v>2.7430850129740419E-2</v>
      </c>
      <c r="F12" s="33">
        <f>$C$32*('E Balans VL '!L8+'E Balans VL '!N8)/100/3.6*1000000</f>
        <v>0.44723602013242952</v>
      </c>
      <c r="G12" s="34"/>
      <c r="H12" s="33"/>
      <c r="I12" s="33"/>
      <c r="J12" s="33">
        <f>$C$32*('E Balans VL '!D8+'E Balans VL '!E8)/100/3.6*1000000</f>
        <v>0</v>
      </c>
      <c r="K12" s="33"/>
      <c r="L12" s="33"/>
      <c r="M12" s="33"/>
      <c r="N12" s="33">
        <f>$C$32*'E Balans VL '!Y8/100/3.6*1000000</f>
        <v>0.25875961537425257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6622.7089999999998</v>
      </c>
      <c r="C16" s="21">
        <f t="shared" ca="1" si="1"/>
        <v>0</v>
      </c>
      <c r="D16" s="21">
        <f t="shared" ca="1" si="1"/>
        <v>5093.1475099999998</v>
      </c>
      <c r="E16" s="21">
        <f t="shared" si="1"/>
        <v>50.784833974911258</v>
      </c>
      <c r="F16" s="21">
        <f t="shared" ca="1" si="1"/>
        <v>1014.8976888493368</v>
      </c>
      <c r="G16" s="21">
        <f t="shared" si="1"/>
        <v>0</v>
      </c>
      <c r="H16" s="21">
        <f t="shared" si="1"/>
        <v>0</v>
      </c>
      <c r="I16" s="21">
        <f t="shared" si="1"/>
        <v>0</v>
      </c>
      <c r="J16" s="21">
        <f t="shared" si="1"/>
        <v>0</v>
      </c>
      <c r="K16" s="21">
        <f t="shared" si="1"/>
        <v>0</v>
      </c>
      <c r="L16" s="21">
        <f t="shared" ca="1" si="1"/>
        <v>0</v>
      </c>
      <c r="M16" s="21">
        <f t="shared" si="1"/>
        <v>0</v>
      </c>
      <c r="N16" s="21">
        <f t="shared" ca="1" si="1"/>
        <v>1023.8759925315247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9.1705790181106833E-2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607.34076198452783</v>
      </c>
      <c r="C20" s="23">
        <f t="shared" ref="C20:P20" ca="1" si="2">C16*C18</f>
        <v>0</v>
      </c>
      <c r="D20" s="23">
        <f t="shared" ca="1" si="2"/>
        <v>1028.81579702</v>
      </c>
      <c r="E20" s="23">
        <f t="shared" si="2"/>
        <v>11.528157312304856</v>
      </c>
      <c r="F20" s="23">
        <f t="shared" ca="1" si="2"/>
        <v>270.97768292277294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2095.087</v>
      </c>
      <c r="C26" s="39">
        <f>IF(ISERROR(B26*3.6/1000000/'E Balans VL '!Z12*100),0,B26*3.6/1000000/'E Balans VL '!Z12*100)</f>
        <v>4.6021008118120738E-2</v>
      </c>
      <c r="D26" s="237" t="s">
        <v>692</v>
      </c>
      <c r="F26" s="6"/>
    </row>
    <row r="27" spans="1:18">
      <c r="A27" s="231" t="s">
        <v>53</v>
      </c>
      <c r="B27" s="33">
        <f>IF(ISERROR(TER_horeca_ele_kWh/1000),0,TER_horeca_ele_kWh/1000)</f>
        <v>387.08600000000001</v>
      </c>
      <c r="C27" s="39">
        <f>IF(ISERROR(B27*3.6/1000000/'E Balans VL '!Z9*100),0,B27*3.6/1000000/'E Balans VL '!Z9*100)</f>
        <v>3.110621861882127E-2</v>
      </c>
      <c r="D27" s="237" t="s">
        <v>692</v>
      </c>
      <c r="F27" s="6"/>
    </row>
    <row r="28" spans="1:18">
      <c r="A28" s="171" t="s">
        <v>52</v>
      </c>
      <c r="B28" s="33">
        <f>IF(ISERROR(TER_handel_ele_kWh/1000),0,TER_handel_ele_kWh/1000)</f>
        <v>2162.1030000000001</v>
      </c>
      <c r="C28" s="39">
        <f>IF(ISERROR(B28*3.6/1000000/'E Balans VL '!Z13*100),0,B28*3.6/1000000/'E Balans VL '!Z13*100)</f>
        <v>6.3931875233129362E-2</v>
      </c>
      <c r="D28" s="237" t="s">
        <v>692</v>
      </c>
      <c r="F28" s="6"/>
    </row>
    <row r="29" spans="1:18">
      <c r="A29" s="231" t="s">
        <v>51</v>
      </c>
      <c r="B29" s="33">
        <f>IF(ISERROR(TER_gezond_ele_kWh/1000),0,TER_gezond_ele_kWh/1000)</f>
        <v>351.61799999999999</v>
      </c>
      <c r="C29" s="39">
        <f>IF(ISERROR(B29*3.6/1000000/'E Balans VL '!Z10*100),0,B29*3.6/1000000/'E Balans VL '!Z10*100)</f>
        <v>3.9618270623465658E-2</v>
      </c>
      <c r="D29" s="237" t="s">
        <v>692</v>
      </c>
      <c r="F29" s="6"/>
    </row>
    <row r="30" spans="1:18">
      <c r="A30" s="231" t="s">
        <v>50</v>
      </c>
      <c r="B30" s="33">
        <f>IF(ISERROR(TER_ander_ele_kWh/1000),0,TER_ander_ele_kWh/1000)</f>
        <v>1393.9970000000001</v>
      </c>
      <c r="C30" s="39">
        <f>IF(ISERROR(B30*3.6/1000000/'E Balans VL '!Z14*100),0,B30*3.6/1000000/'E Balans VL '!Z14*100)</f>
        <v>0.10542561017976562</v>
      </c>
      <c r="D30" s="237" t="s">
        <v>692</v>
      </c>
      <c r="F30" s="6"/>
    </row>
    <row r="31" spans="1:18">
      <c r="A31" s="231" t="s">
        <v>55</v>
      </c>
      <c r="B31" s="33">
        <f>IF(ISERROR(TER_onderwijs_ele_kWh/1000),0,TER_onderwijs_ele_kWh/1000)</f>
        <v>229.78399999999999</v>
      </c>
      <c r="C31" s="39">
        <f>IF(ISERROR(B31*3.6/1000000/'E Balans VL '!Z11*100),0,B31*3.6/1000000/'E Balans VL '!Z11*100)</f>
        <v>4.769782419343975E-2</v>
      </c>
      <c r="D31" s="237" t="s">
        <v>692</v>
      </c>
    </row>
    <row r="32" spans="1:18">
      <c r="A32" s="231" t="s">
        <v>260</v>
      </c>
      <c r="B32" s="33">
        <f>IF(ISERROR(TER_rest_ele_kWh/1000),0,TER_rest_ele_kWh/1000)</f>
        <v>3.0339999999999998</v>
      </c>
      <c r="C32" s="39">
        <f>IF(ISERROR(B32*3.6/1000000/'E Balans VL '!Z8*100),0,B32*3.6/1000000/'E Balans VL '!Z8*100)</f>
        <v>2.555966515824303E-5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1033.4190000000001</v>
      </c>
      <c r="C5" s="17">
        <f>IF(ISERROR('Eigen informatie GS &amp; warmtenet'!B59),0,'Eigen informatie GS &amp; warmtenet'!B59)</f>
        <v>0</v>
      </c>
      <c r="D5" s="30">
        <f>SUM(D6:D15)</f>
        <v>606.70143600000006</v>
      </c>
      <c r="E5" s="17">
        <f>SUM(E6:E15)</f>
        <v>153.95262375556118</v>
      </c>
      <c r="F5" s="17">
        <f>SUM(F6:F15)</f>
        <v>752.47349948295903</v>
      </c>
      <c r="G5" s="18"/>
      <c r="H5" s="17"/>
      <c r="I5" s="17"/>
      <c r="J5" s="17">
        <f>SUM(J6:J15)</f>
        <v>3.6208287934473646</v>
      </c>
      <c r="K5" s="17"/>
      <c r="L5" s="17"/>
      <c r="M5" s="17"/>
      <c r="N5" s="17">
        <f>SUM(N6:N15)</f>
        <v>263.24887281464538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262.572</v>
      </c>
      <c r="C8" s="33"/>
      <c r="D8" s="37">
        <f>IF( ISERROR(IND_metaal_Gas_kWH/1000),0,IND_metaal_Gas_kWH/1000)*0.902</f>
        <v>0</v>
      </c>
      <c r="E8" s="33">
        <f>C30*'E Balans VL '!I18/100/3.6*1000000</f>
        <v>6.5712581776879118</v>
      </c>
      <c r="F8" s="33">
        <f>C30*'E Balans VL '!L18/100/3.6*1000000+C30*'E Balans VL '!N18/100/3.6*1000000</f>
        <v>82.291370900298091</v>
      </c>
      <c r="G8" s="34"/>
      <c r="H8" s="33"/>
      <c r="I8" s="33"/>
      <c r="J8" s="40">
        <f>C30*'E Balans VL '!D18/100/3.6*1000000+C30*'E Balans VL '!E18/100/3.6*1000000</f>
        <v>0</v>
      </c>
      <c r="K8" s="33"/>
      <c r="L8" s="33"/>
      <c r="M8" s="33"/>
      <c r="N8" s="33">
        <f>C30*'E Balans VL '!Y18/100/3.6*1000000</f>
        <v>6.5964900737614833</v>
      </c>
      <c r="O8" s="33"/>
      <c r="P8" s="33"/>
      <c r="R8" s="32"/>
    </row>
    <row r="9" spans="1:18">
      <c r="A9" s="6" t="s">
        <v>33</v>
      </c>
      <c r="B9" s="37">
        <f t="shared" si="0"/>
        <v>505.77199999999999</v>
      </c>
      <c r="C9" s="33"/>
      <c r="D9" s="37">
        <f>IF( ISERROR(IND_andere_gas_kWh/1000),0,IND_andere_gas_kWh/1000)*0.902</f>
        <v>329.57997599999999</v>
      </c>
      <c r="E9" s="33">
        <f>C31*'E Balans VL '!I19/100/3.6*1000000</f>
        <v>139.06655573330198</v>
      </c>
      <c r="F9" s="33">
        <f>C31*'E Balans VL '!L19/100/3.6*1000000+C31*'E Balans VL '!N19/100/3.6*1000000</f>
        <v>398.63634664698486</v>
      </c>
      <c r="G9" s="34"/>
      <c r="H9" s="33"/>
      <c r="I9" s="33"/>
      <c r="J9" s="40">
        <f>C31*'E Balans VL '!D19/100/3.6*1000000+C31*'E Balans VL '!E19/100/3.6*1000000</f>
        <v>0</v>
      </c>
      <c r="K9" s="33"/>
      <c r="L9" s="33"/>
      <c r="M9" s="33"/>
      <c r="N9" s="33">
        <f>C31*'E Balans VL '!Y19/100/3.6*1000000</f>
        <v>163.73174654679781</v>
      </c>
      <c r="O9" s="33"/>
      <c r="P9" s="33"/>
      <c r="R9" s="32"/>
    </row>
    <row r="10" spans="1:18">
      <c r="A10" s="6" t="s">
        <v>41</v>
      </c>
      <c r="B10" s="37">
        <f t="shared" si="0"/>
        <v>127.10299999999999</v>
      </c>
      <c r="C10" s="33"/>
      <c r="D10" s="37">
        <f>IF( ISERROR(IND_voed_gas_kWh/1000),0,IND_voed_gas_kWh/1000)*0.902</f>
        <v>0</v>
      </c>
      <c r="E10" s="33">
        <f>C32*'E Balans VL '!I20/100/3.6*1000000</f>
        <v>1.2957450635577559</v>
      </c>
      <c r="F10" s="33">
        <f>C32*'E Balans VL '!L20/100/3.6*1000000+C32*'E Balans VL '!N20/100/3.6*1000000</f>
        <v>240.09677204747254</v>
      </c>
      <c r="G10" s="34"/>
      <c r="H10" s="33"/>
      <c r="I10" s="33"/>
      <c r="J10" s="40">
        <f>C32*'E Balans VL '!D20/100/3.6*1000000+C32*'E Balans VL '!E20/100/3.6*1000000</f>
        <v>3.041990672898867</v>
      </c>
      <c r="K10" s="33"/>
      <c r="L10" s="33"/>
      <c r="M10" s="33"/>
      <c r="N10" s="33">
        <f>C32*'E Balans VL '!Y20/100/3.6*1000000</f>
        <v>66.99792147033331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137.97200000000001</v>
      </c>
      <c r="C15" s="33"/>
      <c r="D15" s="37">
        <f>IF( ISERROR(IND_rest_gas_kWh/1000),0,IND_rest_gas_kWh/1000)*0.902</f>
        <v>277.12146000000001</v>
      </c>
      <c r="E15" s="33">
        <f>C37*'E Balans VL '!I15/100/3.6*1000000</f>
        <v>7.0190647810135216</v>
      </c>
      <c r="F15" s="33">
        <f>C37*'E Balans VL '!L15/100/3.6*1000000+C37*'E Balans VL '!N15/100/3.6*1000000</f>
        <v>31.449009888203499</v>
      </c>
      <c r="G15" s="34"/>
      <c r="H15" s="33"/>
      <c r="I15" s="33"/>
      <c r="J15" s="40">
        <f>C37*'E Balans VL '!D15/100/3.6*1000000+C37*'E Balans VL '!E15/100/3.6*1000000</f>
        <v>0.57883812054849759</v>
      </c>
      <c r="K15" s="33"/>
      <c r="L15" s="33"/>
      <c r="M15" s="33"/>
      <c r="N15" s="33">
        <f>C37*'E Balans VL '!Y15/100/3.6*1000000</f>
        <v>25.922714723752769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1033.4190000000001</v>
      </c>
      <c r="C18" s="21">
        <f>C5+C16</f>
        <v>0</v>
      </c>
      <c r="D18" s="21">
        <f>MAX((D5+D16),0)</f>
        <v>606.70143600000006</v>
      </c>
      <c r="E18" s="21">
        <f>MAX((E5+E16),0)</f>
        <v>153.95262375556118</v>
      </c>
      <c r="F18" s="21">
        <f>MAX((F5+F16),0)</f>
        <v>752.47349948295903</v>
      </c>
      <c r="G18" s="21"/>
      <c r="H18" s="21"/>
      <c r="I18" s="21"/>
      <c r="J18" s="21">
        <f>MAX((J5+J16),0)</f>
        <v>3.6208287934473646</v>
      </c>
      <c r="K18" s="21"/>
      <c r="L18" s="21">
        <f>MAX((L5+L16),0)</f>
        <v>0</v>
      </c>
      <c r="M18" s="21"/>
      <c r="N18" s="21">
        <f>MAX((N5+N16),0)</f>
        <v>263.24887281464538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9.1705790181106833E-2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94.770505983169258</v>
      </c>
      <c r="C22" s="23">
        <f ca="1">C18*C20</f>
        <v>0</v>
      </c>
      <c r="D22" s="23">
        <f>D18*D20</f>
        <v>122.55369007200002</v>
      </c>
      <c r="E22" s="23">
        <f>E18*E20</f>
        <v>34.947245592512388</v>
      </c>
      <c r="F22" s="23">
        <f>F18*F20</f>
        <v>200.91042436195008</v>
      </c>
      <c r="G22" s="23"/>
      <c r="H22" s="23"/>
      <c r="I22" s="23"/>
      <c r="J22" s="23">
        <f>J18*J20</f>
        <v>1.281773392880367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262.572</v>
      </c>
      <c r="C30" s="39">
        <f>IF(ISERROR(B30*3.6/1000000/'E Balans VL '!Z18*100),0,B30*3.6/1000000/'E Balans VL '!Z18*100)</f>
        <v>3.6751329691432674E-2</v>
      </c>
      <c r="D30" s="237" t="s">
        <v>692</v>
      </c>
    </row>
    <row r="31" spans="1:18">
      <c r="A31" s="6" t="s">
        <v>33</v>
      </c>
      <c r="B31" s="37">
        <f>IF( ISERROR(IND_ander_ele_kWh/1000),0,IND_ander_ele_kWh/1000)</f>
        <v>505.77199999999999</v>
      </c>
      <c r="C31" s="39">
        <f>IF(ISERROR(B31*3.6/1000000/'E Balans VL '!Z19*100),0,B31*3.6/1000000/'E Balans VL '!Z19*100)</f>
        <v>2.2137558392124699E-2</v>
      </c>
      <c r="D31" s="237" t="s">
        <v>692</v>
      </c>
    </row>
    <row r="32" spans="1:18">
      <c r="A32" s="171" t="s">
        <v>41</v>
      </c>
      <c r="B32" s="37">
        <f>IF( ISERROR(IND_voed_ele_kWh/1000),0,IND_voed_ele_kWh/1000)</f>
        <v>127.10299999999999</v>
      </c>
      <c r="C32" s="39">
        <f>IF(ISERROR(B32*3.6/1000000/'E Balans VL '!Z20*100),0,B32*3.6/1000000/'E Balans VL '!Z20*100)</f>
        <v>3.1466481917567055E-2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137.97200000000001</v>
      </c>
      <c r="C37" s="39">
        <f>IF(ISERROR(B37*3.6/1000000/'E Balans VL '!Z15*100),0,B37*3.6/1000000/'E Balans VL '!Z15*100)</f>
        <v>1.0230387581940093E-3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2143.049</v>
      </c>
      <c r="C5" s="17">
        <f>'Eigen informatie GS &amp; warmtenet'!B60</f>
        <v>0</v>
      </c>
      <c r="D5" s="30">
        <f>IF(ISERROR(SUM(LB_lb_gas_kWh,LB_rest_gas_kWh,onbekend_gas_kWh)/1000),0,SUM(LB_lb_gas_kWh,LB_rest_gas_kWh,onbekend_gas_kWh)/1000)*0.902</f>
        <v>111.70728799999999</v>
      </c>
      <c r="E5" s="17">
        <f>B17*'E Balans VL '!I25/3.6*1000000/100</f>
        <v>19.849817429429532</v>
      </c>
      <c r="F5" s="17">
        <f>B17*('E Balans VL '!L25/3.6*1000000+'E Balans VL '!N25/3.6*1000000)/100</f>
        <v>5437.3235634155453</v>
      </c>
      <c r="G5" s="18"/>
      <c r="H5" s="17"/>
      <c r="I5" s="17"/>
      <c r="J5" s="17">
        <f>('E Balans VL '!D25+'E Balans VL '!E25)/3.6*1000000*landbouw!B17/100</f>
        <v>328.55332819664261</v>
      </c>
      <c r="K5" s="17"/>
      <c r="L5" s="17">
        <f>L6*(-1)</f>
        <v>0</v>
      </c>
      <c r="M5" s="17"/>
      <c r="N5" s="17">
        <f>N6*(-1)</f>
        <v>31770.000000000004</v>
      </c>
      <c r="O5" s="17"/>
      <c r="P5" s="17"/>
      <c r="R5" s="32"/>
    </row>
    <row r="6" spans="1:18">
      <c r="A6" s="16" t="s">
        <v>494</v>
      </c>
      <c r="B6" s="17" t="s">
        <v>211</v>
      </c>
      <c r="C6" s="17">
        <f>'lokale energieproductie'!O91+'lokale energieproductie'!O60</f>
        <v>15907.5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2143.049</v>
      </c>
      <c r="C8" s="21">
        <f>C5+C6</f>
        <v>15907.5</v>
      </c>
      <c r="D8" s="21">
        <f>MAX((D5+D6),0)</f>
        <v>81.707287999999991</v>
      </c>
      <c r="E8" s="21">
        <f>MAX((E5+E6),0)</f>
        <v>19.849817429429532</v>
      </c>
      <c r="F8" s="21">
        <f>MAX((F5+F6),0)</f>
        <v>5437.3235634155453</v>
      </c>
      <c r="G8" s="21"/>
      <c r="H8" s="21"/>
      <c r="I8" s="21"/>
      <c r="J8" s="21">
        <f>MAX((J5+J6),0)</f>
        <v>328.55332819664261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9.1705790181106833E-2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196.53000194183082</v>
      </c>
      <c r="C12" s="23">
        <f ca="1">C8*C10</f>
        <v>3.5661894456467462</v>
      </c>
      <c r="D12" s="23">
        <f>D8*D10</f>
        <v>16.504872175999999</v>
      </c>
      <c r="E12" s="23">
        <f>E8*E10</f>
        <v>4.5059085564805041</v>
      </c>
      <c r="F12" s="23">
        <f>F8*F10</f>
        <v>1451.7653914319508</v>
      </c>
      <c r="G12" s="23"/>
      <c r="H12" s="23"/>
      <c r="I12" s="23"/>
      <c r="J12" s="23">
        <f>J8*J10</f>
        <v>116.30787818161147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0.30469612730685303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203.68436403498578</v>
      </c>
      <c r="C26" s="247">
        <f>B26*'GWP N2O_CH4'!B5</f>
        <v>4277.3716447347015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58.516387958880912</v>
      </c>
      <c r="C27" s="247">
        <f>B27*'GWP N2O_CH4'!B5</f>
        <v>1228.8441471364993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3.0670243568910176</v>
      </c>
      <c r="C28" s="247">
        <f>B28*'GWP N2O_CH4'!B4</f>
        <v>950.77755063621544</v>
      </c>
      <c r="D28" s="50"/>
    </row>
    <row r="29" spans="1:4">
      <c r="A29" s="41" t="s">
        <v>277</v>
      </c>
      <c r="B29" s="247">
        <f>B34*'ha_N2O bodem landbouw'!B4</f>
        <v>12.868866214913751</v>
      </c>
      <c r="C29" s="247">
        <f>B29*'GWP N2O_CH4'!B4</f>
        <v>3989.3485266232628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2.8862599771949829E-3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3.1804130375942351E-5</v>
      </c>
      <c r="C5" s="464" t="s">
        <v>211</v>
      </c>
      <c r="D5" s="449">
        <f>SUM(D6:D11)</f>
        <v>8.5900400967239311E-5</v>
      </c>
      <c r="E5" s="449">
        <f>SUM(E6:E11)</f>
        <v>5.4508372792645395E-4</v>
      </c>
      <c r="F5" s="462" t="s">
        <v>211</v>
      </c>
      <c r="G5" s="449">
        <f>SUM(G6:G11)</f>
        <v>0.15487709157870574</v>
      </c>
      <c r="H5" s="449">
        <f>SUM(H6:H11)</f>
        <v>3.2410707196461379E-2</v>
      </c>
      <c r="I5" s="464" t="s">
        <v>211</v>
      </c>
      <c r="J5" s="464" t="s">
        <v>211</v>
      </c>
      <c r="K5" s="464" t="s">
        <v>211</v>
      </c>
      <c r="L5" s="464" t="s">
        <v>211</v>
      </c>
      <c r="M5" s="449">
        <f>SUM(M6:M11)</f>
        <v>9.956661825077354E-3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2.4867565176623771E-5</v>
      </c>
      <c r="C6" s="450"/>
      <c r="D6" s="963">
        <f>vkm_2011_GW_PW*SUMIFS(TableVerdeelsleutelVkm[CNG],TableVerdeelsleutelVkm[Voertuigtype],"Lichte voertuigen")*SUMIFS(TableECFTransport[EnergieConsumptieFactor (PJ per km)],TableECFTransport[Index],CONCATENATE($A6,"_CNG_CNG"))</f>
        <v>5.7521416059043982E-5</v>
      </c>
      <c r="E6" s="963">
        <f>vkm_2011_GW_PW*SUMIFS(TableVerdeelsleutelVkm[LPG],TableVerdeelsleutelVkm[Voertuigtype],"Lichte voertuigen")*SUMIFS(TableECFTransport[EnergieConsumptieFactor (PJ per km)],TableECFTransport[Index],CONCATENATE($A6,"_LPG_LPG"))</f>
        <v>3.7454472516632151E-4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7.7808895670332515E-2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2.1932719720595927E-2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5.1760727850570405E-3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4.3825903713552161E-2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1.4987663154547839E-5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2.5355769463247142E-3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6.9365651993185795E-6</v>
      </c>
      <c r="C8" s="450"/>
      <c r="D8" s="452">
        <f>vkm_2011_NGW_PW*SUMIFS(TableVerdeelsleutelVkm[CNG],TableVerdeelsleutelVkm[Voertuigtype],"Lichte voertuigen")*SUMIFS(TableECFTransport[EnergieConsumptieFactor (PJ per km)],TableECFTransport[Index],CONCATENATE($A8,"_CNG_CNG"))</f>
        <v>2.8378984908195333E-5</v>
      </c>
      <c r="E8" s="452">
        <f>vkm_2011_NGW_PW*SUMIFS(TableVerdeelsleutelVkm[LPG],TableVerdeelsleutelVkm[Voertuigtype],"Lichte voertuigen")*SUMIFS(TableECFTransport[EnergieConsumptieFactor (PJ per km)],TableECFTransport[Index],CONCATENATE($A8,"_LPG_LPG"))</f>
        <v>1.7053900276013239E-4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3.3118423803218798E-2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1.0462959730342287E-2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2.2378456752639568E-3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1.2386839160227921E-4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4.0082368618656433E-8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7.1664184316420986E-6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8.8344806599839867</v>
      </c>
      <c r="C14" s="21"/>
      <c r="D14" s="21">
        <f t="shared" ref="D14:M14" si="0">((D5)*10^9/3600)+D12</f>
        <v>23.861222490899809</v>
      </c>
      <c r="E14" s="21">
        <f t="shared" si="0"/>
        <v>151.4121466462372</v>
      </c>
      <c r="F14" s="21"/>
      <c r="G14" s="21">
        <f t="shared" si="0"/>
        <v>43021.414327418264</v>
      </c>
      <c r="H14" s="21">
        <f t="shared" si="0"/>
        <v>9002.9742212392721</v>
      </c>
      <c r="I14" s="21"/>
      <c r="J14" s="21"/>
      <c r="K14" s="21"/>
      <c r="L14" s="21"/>
      <c r="M14" s="21">
        <f t="shared" si="0"/>
        <v>2765.7393958548209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9.1705790181106833E-2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0.81017302976353767</v>
      </c>
      <c r="C18" s="23"/>
      <c r="D18" s="23">
        <f t="shared" ref="D18:M18" si="1">D14*D16</f>
        <v>4.819966943161762</v>
      </c>
      <c r="E18" s="23">
        <f t="shared" si="1"/>
        <v>34.370557288695849</v>
      </c>
      <c r="F18" s="23"/>
      <c r="G18" s="23">
        <f t="shared" si="1"/>
        <v>11486.717625420677</v>
      </c>
      <c r="H18" s="23">
        <f t="shared" si="1"/>
        <v>2241.7405810885789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3.2470535315449298E-3</v>
      </c>
      <c r="H50" s="321">
        <f t="shared" si="2"/>
        <v>0</v>
      </c>
      <c r="I50" s="321">
        <f t="shared" si="2"/>
        <v>0</v>
      </c>
      <c r="J50" s="321">
        <f t="shared" si="2"/>
        <v>0</v>
      </c>
      <c r="K50" s="321">
        <f t="shared" si="2"/>
        <v>0</v>
      </c>
      <c r="L50" s="321">
        <f t="shared" si="2"/>
        <v>0</v>
      </c>
      <c r="M50" s="321">
        <f t="shared" si="2"/>
        <v>1.8516999723162966E-4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3.2470535315449298E-3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1.8516999723162966E-4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901.95931431803604</v>
      </c>
      <c r="H54" s="21">
        <f t="shared" si="3"/>
        <v>0</v>
      </c>
      <c r="I54" s="21">
        <f t="shared" si="3"/>
        <v>0</v>
      </c>
      <c r="J54" s="21">
        <f t="shared" si="3"/>
        <v>0</v>
      </c>
      <c r="K54" s="21">
        <f t="shared" si="3"/>
        <v>0</v>
      </c>
      <c r="L54" s="21">
        <f t="shared" si="3"/>
        <v>0</v>
      </c>
      <c r="M54" s="21">
        <f t="shared" si="3"/>
        <v>51.436110342119349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9.1705790181106833E-2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240.82313692291564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3417.4287084420266</v>
      </c>
      <c r="C6" s="1216"/>
      <c r="D6" s="1201"/>
      <c r="E6" s="1201"/>
      <c r="F6" s="1219"/>
      <c r="G6" s="1222"/>
      <c r="H6" s="1213"/>
      <c r="I6" s="1201"/>
      <c r="J6" s="1201"/>
      <c r="K6" s="1201"/>
      <c r="L6" s="1205"/>
      <c r="M6" s="576"/>
      <c r="N6" s="1179"/>
      <c r="O6" s="1180"/>
      <c r="Q6" s="574"/>
      <c r="R6" s="1167"/>
      <c r="S6" s="1167"/>
    </row>
    <row r="7" spans="1:19" s="564" customFormat="1">
      <c r="A7" s="577" t="s">
        <v>252</v>
      </c>
      <c r="B7" s="578">
        <f>N57</f>
        <v>11124</v>
      </c>
      <c r="C7" s="579">
        <f>B100</f>
        <v>12.345596803728982</v>
      </c>
      <c r="D7" s="580"/>
      <c r="E7" s="580">
        <f>E100</f>
        <v>0</v>
      </c>
      <c r="F7" s="581"/>
      <c r="G7" s="582"/>
      <c r="H7" s="580">
        <f>I100</f>
        <v>0</v>
      </c>
      <c r="I7" s="580">
        <f>G100+F100</f>
        <v>0</v>
      </c>
      <c r="J7" s="580">
        <f>H100+D100+C100</f>
        <v>13073.987015148994</v>
      </c>
      <c r="K7" s="580"/>
      <c r="L7" s="583"/>
      <c r="M7" s="584">
        <f>C7*$C$11+D7*$D$11+E7*$E$11+F7*$F$11+G7*$G$11+H7*$H$11+I7*$I$11+J7*$J$11</f>
        <v>2.4938105543532547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14541.428708442027</v>
      </c>
      <c r="C9" s="595">
        <f t="shared" ref="C9:L9" si="0">SUM(C7:C8)</f>
        <v>12.345596803728982</v>
      </c>
      <c r="D9" s="595">
        <f t="shared" si="0"/>
        <v>0</v>
      </c>
      <c r="E9" s="595">
        <f t="shared" si="0"/>
        <v>0</v>
      </c>
      <c r="F9" s="595">
        <f t="shared" si="0"/>
        <v>0</v>
      </c>
      <c r="G9" s="595">
        <f t="shared" si="0"/>
        <v>0</v>
      </c>
      <c r="H9" s="595">
        <f t="shared" si="0"/>
        <v>0</v>
      </c>
      <c r="I9" s="595">
        <f t="shared" si="0"/>
        <v>0</v>
      </c>
      <c r="J9" s="595">
        <f t="shared" si="0"/>
        <v>13073.987015148994</v>
      </c>
      <c r="K9" s="595">
        <f t="shared" si="0"/>
        <v>0</v>
      </c>
      <c r="L9" s="595">
        <f t="shared" si="0"/>
        <v>0</v>
      </c>
      <c r="M9" s="596">
        <f>SUM(M4:M8)</f>
        <v>2.4938105543532547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15907.5</v>
      </c>
      <c r="C16" s="611">
        <f>B101</f>
        <v>17.654403196271019</v>
      </c>
      <c r="D16" s="612"/>
      <c r="E16" s="612">
        <f>E101</f>
        <v>0</v>
      </c>
      <c r="F16" s="613"/>
      <c r="G16" s="614"/>
      <c r="H16" s="611">
        <f>I101</f>
        <v>0</v>
      </c>
      <c r="I16" s="612">
        <f>G101+F101</f>
        <v>0</v>
      </c>
      <c r="J16" s="612">
        <f>H101+D101+C101</f>
        <v>18696.012984851011</v>
      </c>
      <c r="K16" s="612"/>
      <c r="L16" s="615"/>
      <c r="M16" s="616">
        <f>C16*$C$21+E16*$E$21+H16*$H$21+I16*$I$21+J16*$J$21+D16*$D$21+F16*$F$21+G16*$G$21+K16*$K$21+L16*$L$21</f>
        <v>3.5661894456467462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15907.5</v>
      </c>
      <c r="C19" s="594">
        <f>SUM(C16:C18)</f>
        <v>17.654403196271019</v>
      </c>
      <c r="D19" s="594">
        <f t="shared" ref="D19:M19" si="1">SUM(D16:D18)</f>
        <v>0</v>
      </c>
      <c r="E19" s="594">
        <f t="shared" si="1"/>
        <v>0</v>
      </c>
      <c r="F19" s="594">
        <f t="shared" si="1"/>
        <v>0</v>
      </c>
      <c r="G19" s="594">
        <f t="shared" si="1"/>
        <v>0</v>
      </c>
      <c r="H19" s="594">
        <f t="shared" si="1"/>
        <v>0</v>
      </c>
      <c r="I19" s="594">
        <f t="shared" si="1"/>
        <v>0</v>
      </c>
      <c r="J19" s="594">
        <f t="shared" si="1"/>
        <v>18696.012984851011</v>
      </c>
      <c r="K19" s="594">
        <f t="shared" si="1"/>
        <v>0</v>
      </c>
      <c r="L19" s="594">
        <f t="shared" si="1"/>
        <v>0</v>
      </c>
      <c r="M19" s="621">
        <f t="shared" si="1"/>
        <v>3.5661894456467462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73040</v>
      </c>
      <c r="C27" s="852">
        <v>3724</v>
      </c>
      <c r="D27" s="673" t="s">
        <v>834</v>
      </c>
      <c r="E27" s="672" t="s">
        <v>835</v>
      </c>
      <c r="F27" s="672" t="s">
        <v>836</v>
      </c>
      <c r="G27" s="672" t="s">
        <v>837</v>
      </c>
      <c r="H27" s="672" t="s">
        <v>838</v>
      </c>
      <c r="I27" s="672" t="s">
        <v>839</v>
      </c>
      <c r="J27" s="851">
        <v>40717</v>
      </c>
      <c r="K27" s="851">
        <v>39951</v>
      </c>
      <c r="L27" s="672" t="s">
        <v>840</v>
      </c>
      <c r="M27" s="672">
        <v>2471</v>
      </c>
      <c r="N27" s="672">
        <v>11119.5</v>
      </c>
      <c r="O27" s="672">
        <v>15885</v>
      </c>
      <c r="P27" s="672">
        <v>0</v>
      </c>
      <c r="Q27" s="672">
        <v>31770.000000000004</v>
      </c>
      <c r="R27" s="672">
        <v>0</v>
      </c>
      <c r="S27" s="672">
        <v>0</v>
      </c>
      <c r="T27" s="672">
        <v>0</v>
      </c>
      <c r="U27" s="672">
        <v>0</v>
      </c>
      <c r="V27" s="672">
        <v>0</v>
      </c>
      <c r="W27" s="672">
        <v>0</v>
      </c>
      <c r="X27" s="672">
        <v>10</v>
      </c>
      <c r="Y27" s="672" t="s">
        <v>112</v>
      </c>
      <c r="Z27" s="674" t="s">
        <v>112</v>
      </c>
    </row>
    <row r="28" spans="1:26" s="626" customFormat="1" ht="25.5">
      <c r="A28" s="625"/>
      <c r="B28" s="852">
        <v>73040</v>
      </c>
      <c r="C28" s="852">
        <v>3721</v>
      </c>
      <c r="D28" s="673" t="s">
        <v>841</v>
      </c>
      <c r="E28" s="672" t="s">
        <v>842</v>
      </c>
      <c r="F28" s="672" t="s">
        <v>843</v>
      </c>
      <c r="G28" s="672" t="s">
        <v>844</v>
      </c>
      <c r="H28" s="672" t="s">
        <v>844</v>
      </c>
      <c r="I28" s="672" t="s">
        <v>842</v>
      </c>
      <c r="J28" s="851">
        <v>41073</v>
      </c>
      <c r="K28" s="851">
        <v>41214</v>
      </c>
      <c r="L28" s="672" t="s">
        <v>840</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2472</v>
      </c>
      <c r="N57" s="630">
        <f>SUM(N27:N56)</f>
        <v>11124</v>
      </c>
      <c r="O57" s="630">
        <f t="shared" ref="O57:W57" si="2">SUM(O27:O56)</f>
        <v>15907.5</v>
      </c>
      <c r="P57" s="630">
        <f t="shared" si="2"/>
        <v>30</v>
      </c>
      <c r="Q57" s="630">
        <f t="shared" si="2"/>
        <v>31770.000000000004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2472</v>
      </c>
      <c r="N60" s="635">
        <f t="shared" ref="N60:W60" si="4">SUMIF($Z$27:$Z$56,"landbouw",N27:N56)</f>
        <v>11124</v>
      </c>
      <c r="O60" s="635">
        <f t="shared" si="4"/>
        <v>15907.5</v>
      </c>
      <c r="P60" s="635">
        <f t="shared" si="4"/>
        <v>30</v>
      </c>
      <c r="Q60" s="635">
        <f t="shared" si="4"/>
        <v>31770.000000000004</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0.58848010654236727</v>
      </c>
      <c r="C97" s="655">
        <f>IF(ISERROR(N57/(O57+N57)),0,N57/(N57+O57))</f>
        <v>0.41151989345763273</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12.345596803728982</v>
      </c>
      <c r="C100" s="664">
        <f t="shared" si="9"/>
        <v>13073.987015148994</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17.654403196271019</v>
      </c>
      <c r="C101" s="667">
        <f t="shared" ref="C101:H101" si="10">$B$97*Q57</f>
        <v>18696.012984851011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7077.7659999999996</v>
      </c>
      <c r="D10" s="719">
        <f ca="1">tertiair!C16</f>
        <v>0</v>
      </c>
      <c r="E10" s="719">
        <f ca="1">tertiair!D16</f>
        <v>5093.1475099999998</v>
      </c>
      <c r="F10" s="719">
        <f>tertiair!E16</f>
        <v>50.784833974911258</v>
      </c>
      <c r="G10" s="719">
        <f ca="1">tertiair!F16</f>
        <v>1014.8976888493368</v>
      </c>
      <c r="H10" s="719">
        <f>tertiair!G16</f>
        <v>0</v>
      </c>
      <c r="I10" s="719">
        <f>tertiair!H16</f>
        <v>0</v>
      </c>
      <c r="J10" s="719">
        <f>tertiair!I16</f>
        <v>0</v>
      </c>
      <c r="K10" s="719">
        <f>tertiair!J16</f>
        <v>0</v>
      </c>
      <c r="L10" s="719">
        <f>tertiair!K16</f>
        <v>0</v>
      </c>
      <c r="M10" s="719">
        <f ca="1">tertiair!L16</f>
        <v>0</v>
      </c>
      <c r="N10" s="719">
        <f>tertiair!M16</f>
        <v>0</v>
      </c>
      <c r="O10" s="719">
        <f ca="1">tertiair!N16</f>
        <v>1023.8759925315247</v>
      </c>
      <c r="P10" s="719">
        <f>tertiair!O16</f>
        <v>0</v>
      </c>
      <c r="Q10" s="720">
        <f>tertiair!P16</f>
        <v>0</v>
      </c>
      <c r="R10" s="722">
        <f ca="1">SUM(C10:Q10)</f>
        <v>14260.47202535577</v>
      </c>
      <c r="S10" s="67"/>
    </row>
    <row r="11" spans="1:19" s="475" customFormat="1">
      <c r="A11" s="871" t="s">
        <v>225</v>
      </c>
      <c r="B11" s="876"/>
      <c r="C11" s="719">
        <f>huishoudens!B8</f>
        <v>14573.016124438102</v>
      </c>
      <c r="D11" s="719">
        <f>huishoudens!C8</f>
        <v>0</v>
      </c>
      <c r="E11" s="719">
        <f>huishoudens!D8</f>
        <v>18284.508748</v>
      </c>
      <c r="F11" s="719">
        <f>huishoudens!E8</f>
        <v>3090.6084744801847</v>
      </c>
      <c r="G11" s="719">
        <f>huishoudens!F8</f>
        <v>32931.934904182875</v>
      </c>
      <c r="H11" s="719">
        <f>huishoudens!G8</f>
        <v>0</v>
      </c>
      <c r="I11" s="719">
        <f>huishoudens!H8</f>
        <v>0</v>
      </c>
      <c r="J11" s="719">
        <f>huishoudens!I8</f>
        <v>0</v>
      </c>
      <c r="K11" s="719">
        <f>huishoudens!J8</f>
        <v>0</v>
      </c>
      <c r="L11" s="719">
        <f>huishoudens!K8</f>
        <v>0</v>
      </c>
      <c r="M11" s="719">
        <f>huishoudens!L8</f>
        <v>0</v>
      </c>
      <c r="N11" s="719">
        <f>huishoudens!M8</f>
        <v>0</v>
      </c>
      <c r="O11" s="719">
        <f>huishoudens!N8</f>
        <v>8790.294816655196</v>
      </c>
      <c r="P11" s="719">
        <f>huishoudens!O8</f>
        <v>145.39000000000001</v>
      </c>
      <c r="Q11" s="720">
        <f>huishoudens!P8</f>
        <v>591.06666666666661</v>
      </c>
      <c r="R11" s="722">
        <f>SUM(C11:Q11)</f>
        <v>78406.819734423014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1033.4190000000001</v>
      </c>
      <c r="D13" s="719">
        <f>industrie!C18</f>
        <v>0</v>
      </c>
      <c r="E13" s="719">
        <f>industrie!D18</f>
        <v>606.70143600000006</v>
      </c>
      <c r="F13" s="719">
        <f>industrie!E18</f>
        <v>153.95262375556118</v>
      </c>
      <c r="G13" s="719">
        <f>industrie!F18</f>
        <v>752.47349948295903</v>
      </c>
      <c r="H13" s="719">
        <f>industrie!G18</f>
        <v>0</v>
      </c>
      <c r="I13" s="719">
        <f>industrie!H18</f>
        <v>0</v>
      </c>
      <c r="J13" s="719">
        <f>industrie!I18</f>
        <v>0</v>
      </c>
      <c r="K13" s="719">
        <f>industrie!J18</f>
        <v>3.6208287934473646</v>
      </c>
      <c r="L13" s="719">
        <f>industrie!K18</f>
        <v>0</v>
      </c>
      <c r="M13" s="719">
        <f>industrie!L18</f>
        <v>0</v>
      </c>
      <c r="N13" s="719">
        <f>industrie!M18</f>
        <v>0</v>
      </c>
      <c r="O13" s="719">
        <f>industrie!N18</f>
        <v>263.24887281464538</v>
      </c>
      <c r="P13" s="719">
        <f>industrie!O18</f>
        <v>0</v>
      </c>
      <c r="Q13" s="720">
        <f>industrie!P18</f>
        <v>0</v>
      </c>
      <c r="R13" s="722">
        <f>SUM(C13:Q13)</f>
        <v>2813.4162608466131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22684.201124438103</v>
      </c>
      <c r="D15" s="724">
        <f t="shared" ref="D15:Q15" ca="1" si="0">SUM(D9:D14)</f>
        <v>0</v>
      </c>
      <c r="E15" s="724">
        <f t="shared" ca="1" si="0"/>
        <v>23984.357693999998</v>
      </c>
      <c r="F15" s="724">
        <f t="shared" si="0"/>
        <v>3295.3459322106569</v>
      </c>
      <c r="G15" s="724">
        <f t="shared" ca="1" si="0"/>
        <v>34699.306092515166</v>
      </c>
      <c r="H15" s="724">
        <f t="shared" si="0"/>
        <v>0</v>
      </c>
      <c r="I15" s="724">
        <f t="shared" si="0"/>
        <v>0</v>
      </c>
      <c r="J15" s="724">
        <f t="shared" si="0"/>
        <v>0</v>
      </c>
      <c r="K15" s="724">
        <f t="shared" si="0"/>
        <v>3.6208287934473646</v>
      </c>
      <c r="L15" s="724">
        <f t="shared" si="0"/>
        <v>0</v>
      </c>
      <c r="M15" s="724">
        <f t="shared" ca="1" si="0"/>
        <v>0</v>
      </c>
      <c r="N15" s="724">
        <f t="shared" si="0"/>
        <v>0</v>
      </c>
      <c r="O15" s="724">
        <f t="shared" ca="1" si="0"/>
        <v>10077.419682001366</v>
      </c>
      <c r="P15" s="724">
        <f t="shared" si="0"/>
        <v>145.39000000000001</v>
      </c>
      <c r="Q15" s="725">
        <f t="shared" si="0"/>
        <v>591.06666666666661</v>
      </c>
      <c r="R15" s="726">
        <f ca="1">SUM(R9:R14)</f>
        <v>95480.708020625403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901.95931431803604</v>
      </c>
      <c r="I18" s="719">
        <f>transport!H54</f>
        <v>0</v>
      </c>
      <c r="J18" s="719">
        <f>transport!I54</f>
        <v>0</v>
      </c>
      <c r="K18" s="719">
        <f>transport!J54</f>
        <v>0</v>
      </c>
      <c r="L18" s="719">
        <f>transport!K54</f>
        <v>0</v>
      </c>
      <c r="M18" s="719">
        <f>transport!L54</f>
        <v>0</v>
      </c>
      <c r="N18" s="719">
        <f>transport!M54</f>
        <v>51.436110342119349</v>
      </c>
      <c r="O18" s="719">
        <f>transport!N54</f>
        <v>0</v>
      </c>
      <c r="P18" s="719">
        <f>transport!O54</f>
        <v>0</v>
      </c>
      <c r="Q18" s="720">
        <f>transport!P54</f>
        <v>0</v>
      </c>
      <c r="R18" s="722">
        <f>SUM(C18:Q18)</f>
        <v>953.39542466015541</v>
      </c>
      <c r="S18" s="67"/>
    </row>
    <row r="19" spans="1:19" s="475" customFormat="1" ht="15" thickBot="1">
      <c r="A19" s="871" t="s">
        <v>307</v>
      </c>
      <c r="B19" s="876"/>
      <c r="C19" s="728">
        <f>transport!B14</f>
        <v>8.8344806599839867</v>
      </c>
      <c r="D19" s="728">
        <f>transport!C14</f>
        <v>0</v>
      </c>
      <c r="E19" s="728">
        <f>transport!D14</f>
        <v>23.861222490899809</v>
      </c>
      <c r="F19" s="728">
        <f>transport!E14</f>
        <v>151.4121466462372</v>
      </c>
      <c r="G19" s="728">
        <f>transport!F14</f>
        <v>0</v>
      </c>
      <c r="H19" s="728">
        <f>transport!G14</f>
        <v>43021.414327418264</v>
      </c>
      <c r="I19" s="728">
        <f>transport!H14</f>
        <v>9002.9742212392721</v>
      </c>
      <c r="J19" s="728">
        <f>transport!I14</f>
        <v>0</v>
      </c>
      <c r="K19" s="728">
        <f>transport!J14</f>
        <v>0</v>
      </c>
      <c r="L19" s="728">
        <f>transport!K14</f>
        <v>0</v>
      </c>
      <c r="M19" s="728">
        <f>transport!L14</f>
        <v>0</v>
      </c>
      <c r="N19" s="728">
        <f>transport!M14</f>
        <v>2765.7393958548209</v>
      </c>
      <c r="O19" s="728">
        <f>transport!N14</f>
        <v>0</v>
      </c>
      <c r="P19" s="728">
        <f>transport!O14</f>
        <v>0</v>
      </c>
      <c r="Q19" s="729">
        <f>transport!P14</f>
        <v>0</v>
      </c>
      <c r="R19" s="730">
        <f>SUM(C19:Q19)</f>
        <v>54974.235794309476</v>
      </c>
      <c r="S19" s="67"/>
    </row>
    <row r="20" spans="1:19" s="475" customFormat="1" ht="15.75" thickBot="1">
      <c r="A20" s="731" t="s">
        <v>230</v>
      </c>
      <c r="B20" s="879"/>
      <c r="C20" s="874">
        <f>SUM(C17:C19)</f>
        <v>8.8344806599839867</v>
      </c>
      <c r="D20" s="732">
        <f t="shared" ref="D20:R20" si="1">SUM(D17:D19)</f>
        <v>0</v>
      </c>
      <c r="E20" s="732">
        <f t="shared" si="1"/>
        <v>23.861222490899809</v>
      </c>
      <c r="F20" s="732">
        <f t="shared" si="1"/>
        <v>151.4121466462372</v>
      </c>
      <c r="G20" s="732">
        <f t="shared" si="1"/>
        <v>0</v>
      </c>
      <c r="H20" s="732">
        <f t="shared" si="1"/>
        <v>43923.373641736303</v>
      </c>
      <c r="I20" s="732">
        <f t="shared" si="1"/>
        <v>9002.9742212392721</v>
      </c>
      <c r="J20" s="732">
        <f t="shared" si="1"/>
        <v>0</v>
      </c>
      <c r="K20" s="732">
        <f t="shared" si="1"/>
        <v>0</v>
      </c>
      <c r="L20" s="732">
        <f t="shared" si="1"/>
        <v>0</v>
      </c>
      <c r="M20" s="732">
        <f t="shared" si="1"/>
        <v>0</v>
      </c>
      <c r="N20" s="732">
        <f t="shared" si="1"/>
        <v>2817.1755061969402</v>
      </c>
      <c r="O20" s="732">
        <f t="shared" si="1"/>
        <v>0</v>
      </c>
      <c r="P20" s="732">
        <f t="shared" si="1"/>
        <v>0</v>
      </c>
      <c r="Q20" s="733">
        <f t="shared" si="1"/>
        <v>0</v>
      </c>
      <c r="R20" s="734">
        <f t="shared" si="1"/>
        <v>55927.631218969633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2143.049</v>
      </c>
      <c r="D22" s="728">
        <f>+landbouw!C8</f>
        <v>15907.5</v>
      </c>
      <c r="E22" s="728">
        <f>+landbouw!D8</f>
        <v>81.707287999999991</v>
      </c>
      <c r="F22" s="728">
        <f>+landbouw!E8</f>
        <v>19.849817429429532</v>
      </c>
      <c r="G22" s="728">
        <f>+landbouw!F8</f>
        <v>5437.3235634155453</v>
      </c>
      <c r="H22" s="728">
        <f>+landbouw!G8</f>
        <v>0</v>
      </c>
      <c r="I22" s="728">
        <f>+landbouw!H8</f>
        <v>0</v>
      </c>
      <c r="J22" s="728">
        <f>+landbouw!I8</f>
        <v>0</v>
      </c>
      <c r="K22" s="728">
        <f>+landbouw!J8</f>
        <v>328.55332819664261</v>
      </c>
      <c r="L22" s="728">
        <f>+landbouw!K8</f>
        <v>0</v>
      </c>
      <c r="M22" s="728">
        <f>+landbouw!L8</f>
        <v>0</v>
      </c>
      <c r="N22" s="728">
        <f>+landbouw!M8</f>
        <v>0</v>
      </c>
      <c r="O22" s="728">
        <f>+landbouw!N8</f>
        <v>0</v>
      </c>
      <c r="P22" s="728">
        <f>+landbouw!O8</f>
        <v>0</v>
      </c>
      <c r="Q22" s="729">
        <f>+landbouw!P8</f>
        <v>0</v>
      </c>
      <c r="R22" s="730">
        <f>SUM(C22:Q22)</f>
        <v>23917.982997041618</v>
      </c>
      <c r="S22" s="67"/>
    </row>
    <row r="23" spans="1:19" s="475" customFormat="1" ht="17.25" thickTop="1" thickBot="1">
      <c r="A23" s="735" t="s">
        <v>116</v>
      </c>
      <c r="B23" s="865"/>
      <c r="C23" s="736">
        <f ca="1">C20+C15+C22</f>
        <v>24836.084605098087</v>
      </c>
      <c r="D23" s="736">
        <f t="shared" ref="D23:Q23" ca="1" si="2">D20+D15+D22</f>
        <v>15907.5</v>
      </c>
      <c r="E23" s="736">
        <f t="shared" ca="1" si="2"/>
        <v>24089.926204490901</v>
      </c>
      <c r="F23" s="736">
        <f t="shared" si="2"/>
        <v>3466.6078962863235</v>
      </c>
      <c r="G23" s="736">
        <f t="shared" ca="1" si="2"/>
        <v>40136.629655930708</v>
      </c>
      <c r="H23" s="736">
        <f t="shared" si="2"/>
        <v>43923.373641736303</v>
      </c>
      <c r="I23" s="736">
        <f t="shared" si="2"/>
        <v>9002.9742212392721</v>
      </c>
      <c r="J23" s="736">
        <f t="shared" si="2"/>
        <v>0</v>
      </c>
      <c r="K23" s="736">
        <f t="shared" si="2"/>
        <v>332.17415699008995</v>
      </c>
      <c r="L23" s="736">
        <f t="shared" si="2"/>
        <v>0</v>
      </c>
      <c r="M23" s="736">
        <f t="shared" ca="1" si="2"/>
        <v>0</v>
      </c>
      <c r="N23" s="736">
        <f t="shared" si="2"/>
        <v>2817.1755061969402</v>
      </c>
      <c r="O23" s="736">
        <f t="shared" ca="1" si="2"/>
        <v>10077.419682001366</v>
      </c>
      <c r="P23" s="736">
        <f t="shared" si="2"/>
        <v>145.39000000000001</v>
      </c>
      <c r="Q23" s="737">
        <f t="shared" si="2"/>
        <v>591.06666666666661</v>
      </c>
      <c r="R23" s="738">
        <f ca="1">R20+R15+R22</f>
        <v>175326.32223663665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649.07212374697178</v>
      </c>
      <c r="D36" s="719">
        <f ca="1">tertiair!C20</f>
        <v>0</v>
      </c>
      <c r="E36" s="719">
        <f ca="1">tertiair!D20</f>
        <v>1028.81579702</v>
      </c>
      <c r="F36" s="719">
        <f>tertiair!E20</f>
        <v>11.528157312304856</v>
      </c>
      <c r="G36" s="719">
        <f ca="1">tertiair!F20</f>
        <v>270.97768292277294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1960.3937610020494</v>
      </c>
    </row>
    <row r="37" spans="1:18">
      <c r="A37" s="886" t="s">
        <v>225</v>
      </c>
      <c r="B37" s="893"/>
      <c r="C37" s="719">
        <f ca="1">huishoudens!B12</f>
        <v>1336.4299590136072</v>
      </c>
      <c r="D37" s="719">
        <f ca="1">huishoudens!C12</f>
        <v>0</v>
      </c>
      <c r="E37" s="719">
        <f>huishoudens!D12</f>
        <v>3693.4707670960001</v>
      </c>
      <c r="F37" s="719">
        <f>huishoudens!E12</f>
        <v>701.56812370700197</v>
      </c>
      <c r="G37" s="719">
        <f>huishoudens!F12</f>
        <v>8792.8266194168282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14524.295469233439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94.770505983169258</v>
      </c>
      <c r="D39" s="719">
        <f ca="1">industrie!C22</f>
        <v>0</v>
      </c>
      <c r="E39" s="719">
        <f>industrie!D22</f>
        <v>122.55369007200002</v>
      </c>
      <c r="F39" s="719">
        <f>industrie!E22</f>
        <v>34.947245592512388</v>
      </c>
      <c r="G39" s="719">
        <f>industrie!F22</f>
        <v>200.91042436195008</v>
      </c>
      <c r="H39" s="719">
        <f>industrie!G22</f>
        <v>0</v>
      </c>
      <c r="I39" s="719">
        <f>industrie!H22</f>
        <v>0</v>
      </c>
      <c r="J39" s="719">
        <f>industrie!I22</f>
        <v>0</v>
      </c>
      <c r="K39" s="719">
        <f>industrie!J22</f>
        <v>1.281773392880367</v>
      </c>
      <c r="L39" s="719">
        <f>industrie!K22</f>
        <v>0</v>
      </c>
      <c r="M39" s="719">
        <f>industrie!L22</f>
        <v>0</v>
      </c>
      <c r="N39" s="719">
        <f>industrie!M22</f>
        <v>0</v>
      </c>
      <c r="O39" s="719">
        <f>industrie!N22</f>
        <v>0</v>
      </c>
      <c r="P39" s="719">
        <f>industrie!O22</f>
        <v>0</v>
      </c>
      <c r="Q39" s="829">
        <f>industrie!P22</f>
        <v>0</v>
      </c>
      <c r="R39" s="919">
        <f ca="1">SUM(C39:Q39)</f>
        <v>454.46363940251217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2080.2725887437482</v>
      </c>
      <c r="D41" s="764">
        <f t="shared" ref="D41:R41" ca="1" si="4">SUM(D35:D40)</f>
        <v>0</v>
      </c>
      <c r="E41" s="764">
        <f t="shared" ca="1" si="4"/>
        <v>4844.8402541880005</v>
      </c>
      <c r="F41" s="764">
        <f t="shared" si="4"/>
        <v>748.04352661181929</v>
      </c>
      <c r="G41" s="764">
        <f t="shared" ca="1" si="4"/>
        <v>9264.7147267015498</v>
      </c>
      <c r="H41" s="764">
        <f t="shared" si="4"/>
        <v>0</v>
      </c>
      <c r="I41" s="764">
        <f t="shared" si="4"/>
        <v>0</v>
      </c>
      <c r="J41" s="764">
        <f t="shared" si="4"/>
        <v>0</v>
      </c>
      <c r="K41" s="764">
        <f t="shared" si="4"/>
        <v>1.281773392880367</v>
      </c>
      <c r="L41" s="764">
        <f t="shared" si="4"/>
        <v>0</v>
      </c>
      <c r="M41" s="764">
        <f t="shared" ca="1" si="4"/>
        <v>0</v>
      </c>
      <c r="N41" s="764">
        <f t="shared" si="4"/>
        <v>0</v>
      </c>
      <c r="O41" s="764">
        <f t="shared" ca="1" si="4"/>
        <v>0</v>
      </c>
      <c r="P41" s="764">
        <f t="shared" si="4"/>
        <v>0</v>
      </c>
      <c r="Q41" s="765">
        <f t="shared" si="4"/>
        <v>0</v>
      </c>
      <c r="R41" s="766">
        <f t="shared" ca="1" si="4"/>
        <v>16939.152869638001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240.82313692291564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240.82313692291564</v>
      </c>
    </row>
    <row r="45" spans="1:18" ht="15" thickBot="1">
      <c r="A45" s="889" t="s">
        <v>307</v>
      </c>
      <c r="B45" s="899"/>
      <c r="C45" s="728">
        <f ca="1">transport!B18</f>
        <v>0.81017302976353767</v>
      </c>
      <c r="D45" s="728">
        <f>transport!C18</f>
        <v>0</v>
      </c>
      <c r="E45" s="728">
        <f>transport!D18</f>
        <v>4.819966943161762</v>
      </c>
      <c r="F45" s="728">
        <f>transport!E18</f>
        <v>34.370557288695849</v>
      </c>
      <c r="G45" s="728">
        <f>transport!F18</f>
        <v>0</v>
      </c>
      <c r="H45" s="728">
        <f>transport!G18</f>
        <v>11486.717625420677</v>
      </c>
      <c r="I45" s="728">
        <f>transport!H18</f>
        <v>2241.7405810885789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13768.458903770877</v>
      </c>
    </row>
    <row r="46" spans="1:18" ht="15.75" thickBot="1">
      <c r="A46" s="887" t="s">
        <v>230</v>
      </c>
      <c r="B46" s="900"/>
      <c r="C46" s="764">
        <f t="shared" ref="C46:R46" ca="1" si="5">SUM(C43:C45)</f>
        <v>0.81017302976353767</v>
      </c>
      <c r="D46" s="764">
        <f t="shared" ca="1" si="5"/>
        <v>0</v>
      </c>
      <c r="E46" s="764">
        <f t="shared" si="5"/>
        <v>4.819966943161762</v>
      </c>
      <c r="F46" s="764">
        <f t="shared" si="5"/>
        <v>34.370557288695849</v>
      </c>
      <c r="G46" s="764">
        <f t="shared" si="5"/>
        <v>0</v>
      </c>
      <c r="H46" s="764">
        <f t="shared" si="5"/>
        <v>11727.540762343593</v>
      </c>
      <c r="I46" s="764">
        <f t="shared" si="5"/>
        <v>2241.7405810885789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14009.282040693794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196.53000194183082</v>
      </c>
      <c r="D48" s="719">
        <f ca="1">+landbouw!C12</f>
        <v>3.5661894456467462</v>
      </c>
      <c r="E48" s="719">
        <f>+landbouw!D12</f>
        <v>16.504872175999999</v>
      </c>
      <c r="F48" s="719">
        <f>+landbouw!E12</f>
        <v>4.5059085564805041</v>
      </c>
      <c r="G48" s="719">
        <f>+landbouw!F12</f>
        <v>1451.7653914319508</v>
      </c>
      <c r="H48" s="719">
        <f>+landbouw!G12</f>
        <v>0</v>
      </c>
      <c r="I48" s="719">
        <f>+landbouw!H12</f>
        <v>0</v>
      </c>
      <c r="J48" s="719">
        <f>+landbouw!I12</f>
        <v>0</v>
      </c>
      <c r="K48" s="719">
        <f>+landbouw!J12</f>
        <v>116.30787818161147</v>
      </c>
      <c r="L48" s="719">
        <f>+landbouw!K12</f>
        <v>0</v>
      </c>
      <c r="M48" s="719">
        <f>+landbouw!L12</f>
        <v>0</v>
      </c>
      <c r="N48" s="719">
        <f>+landbouw!M12</f>
        <v>0</v>
      </c>
      <c r="O48" s="719">
        <f>+landbouw!N12</f>
        <v>0</v>
      </c>
      <c r="P48" s="719">
        <f>+landbouw!O12</f>
        <v>0</v>
      </c>
      <c r="Q48" s="720">
        <f>+landbouw!P12</f>
        <v>0</v>
      </c>
      <c r="R48" s="762">
        <f ca="1">SUM(C48:Q48)</f>
        <v>1789.1802417335202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2277.6127637153427</v>
      </c>
      <c r="D53" s="774">
        <f t="shared" ref="D53:Q53" ca="1" si="6">D41+D46+D48</f>
        <v>3.5661894456467462</v>
      </c>
      <c r="E53" s="774">
        <f t="shared" ca="1" si="6"/>
        <v>4866.1650933071624</v>
      </c>
      <c r="F53" s="774">
        <f t="shared" si="6"/>
        <v>786.9199924569956</v>
      </c>
      <c r="G53" s="774">
        <f t="shared" ca="1" si="6"/>
        <v>10716.480118133501</v>
      </c>
      <c r="H53" s="774">
        <f t="shared" si="6"/>
        <v>11727.540762343593</v>
      </c>
      <c r="I53" s="774">
        <f t="shared" si="6"/>
        <v>2241.7405810885789</v>
      </c>
      <c r="J53" s="774">
        <f t="shared" si="6"/>
        <v>0</v>
      </c>
      <c r="K53" s="774">
        <f t="shared" si="6"/>
        <v>117.58965157449184</v>
      </c>
      <c r="L53" s="774">
        <f t="shared" si="6"/>
        <v>0</v>
      </c>
      <c r="M53" s="774">
        <f t="shared" ca="1" si="6"/>
        <v>0</v>
      </c>
      <c r="N53" s="774">
        <f t="shared" si="6"/>
        <v>0</v>
      </c>
      <c r="O53" s="774">
        <f t="shared" ca="1" si="6"/>
        <v>0</v>
      </c>
      <c r="P53" s="774">
        <f>P41+P46+P48</f>
        <v>0</v>
      </c>
      <c r="Q53" s="775">
        <f t="shared" si="6"/>
        <v>0</v>
      </c>
      <c r="R53" s="776">
        <f ca="1">R41+R46+R48</f>
        <v>32737.615152065315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9.1705790181106833E-2</v>
      </c>
      <c r="D55" s="837">
        <f t="shared" ca="1" si="7"/>
        <v>2.2418289773042566E-4</v>
      </c>
      <c r="E55" s="837">
        <f t="shared" ca="1" si="7"/>
        <v>0.20200000000000001</v>
      </c>
      <c r="F55" s="837">
        <f t="shared" si="7"/>
        <v>0.22700000000000006</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3417.4287084420266</v>
      </c>
      <c r="C66" s="796">
        <f>'lokale energieproductie'!B6</f>
        <v>3417.4287084420266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11124</v>
      </c>
      <c r="C67" s="795">
        <f>B67*IFERROR(SUM(J67:L67)/SUM(D67:M67),0)</f>
        <v>11113.505660377359</v>
      </c>
      <c r="D67" s="827">
        <f>'lokale energieproductie'!C7</f>
        <v>12.345596803728982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13073.987015148994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2.4938105543532547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14541.428708442027</v>
      </c>
      <c r="C69" s="804">
        <f>SUM(C64:C68)</f>
        <v>14530.934368819386</v>
      </c>
      <c r="D69" s="805">
        <f t="shared" ref="D69:M69" si="8">SUM(D67:D68)</f>
        <v>12.345596803728982</v>
      </c>
      <c r="E69" s="805">
        <f t="shared" si="8"/>
        <v>0</v>
      </c>
      <c r="F69" s="805">
        <f t="shared" si="8"/>
        <v>0</v>
      </c>
      <c r="G69" s="805">
        <f t="shared" si="8"/>
        <v>0</v>
      </c>
      <c r="H69" s="805">
        <f t="shared" si="8"/>
        <v>0</v>
      </c>
      <c r="I69" s="805">
        <f t="shared" si="8"/>
        <v>0</v>
      </c>
      <c r="J69" s="805">
        <f t="shared" si="8"/>
        <v>0</v>
      </c>
      <c r="K69" s="805">
        <f t="shared" si="8"/>
        <v>13073.987015148994</v>
      </c>
      <c r="L69" s="805">
        <f t="shared" si="8"/>
        <v>0</v>
      </c>
      <c r="M69" s="931">
        <f t="shared" si="8"/>
        <v>0</v>
      </c>
      <c r="N69" s="806">
        <v>0</v>
      </c>
      <c r="O69" s="806">
        <f>SUM(O67:O68)</f>
        <v>2.4938105543532547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15907.5</v>
      </c>
      <c r="C78" s="818">
        <f>B78*IFERROR(SUM(I78:L78)/SUM(D78:M78),0)</f>
        <v>15892.492924528302</v>
      </c>
      <c r="D78" s="833">
        <f>'lokale energieproductie'!C16</f>
        <v>17.654403196271019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18696.012984851011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3.5661894456467462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15907.5</v>
      </c>
      <c r="C81" s="804">
        <f>SUM(C78:C80)</f>
        <v>15892.492924528302</v>
      </c>
      <c r="D81" s="804">
        <f t="shared" ref="D81:P81" si="9">SUM(D78:D80)</f>
        <v>17.654403196271019</v>
      </c>
      <c r="E81" s="804">
        <f t="shared" si="9"/>
        <v>0</v>
      </c>
      <c r="F81" s="804">
        <f t="shared" si="9"/>
        <v>0</v>
      </c>
      <c r="G81" s="804">
        <f t="shared" si="9"/>
        <v>0</v>
      </c>
      <c r="H81" s="804">
        <f t="shared" si="9"/>
        <v>0</v>
      </c>
      <c r="I81" s="804">
        <f t="shared" si="9"/>
        <v>0</v>
      </c>
      <c r="J81" s="804">
        <f t="shared" si="9"/>
        <v>0</v>
      </c>
      <c r="K81" s="804">
        <f t="shared" si="9"/>
        <v>18696.012984851011</v>
      </c>
      <c r="L81" s="804">
        <f t="shared" si="9"/>
        <v>0</v>
      </c>
      <c r="M81" s="804">
        <f t="shared" si="9"/>
        <v>0</v>
      </c>
      <c r="N81" s="804">
        <v>0</v>
      </c>
      <c r="O81" s="804">
        <f>SUM(O78:O80)</f>
        <v>3.5661894456467462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14573.016124438102</v>
      </c>
      <c r="C4" s="479">
        <f>huishoudens!C8</f>
        <v>0</v>
      </c>
      <c r="D4" s="479">
        <f>huishoudens!D8</f>
        <v>18284.508748</v>
      </c>
      <c r="E4" s="479">
        <f>huishoudens!E8</f>
        <v>3090.6084744801847</v>
      </c>
      <c r="F4" s="479">
        <f>huishoudens!F8</f>
        <v>32931.934904182875</v>
      </c>
      <c r="G4" s="479">
        <f>huishoudens!G8</f>
        <v>0</v>
      </c>
      <c r="H4" s="479">
        <f>huishoudens!H8</f>
        <v>0</v>
      </c>
      <c r="I4" s="479">
        <f>huishoudens!I8</f>
        <v>0</v>
      </c>
      <c r="J4" s="479">
        <f>huishoudens!J8</f>
        <v>0</v>
      </c>
      <c r="K4" s="479">
        <f>huishoudens!K8</f>
        <v>0</v>
      </c>
      <c r="L4" s="479">
        <f>huishoudens!L8</f>
        <v>0</v>
      </c>
      <c r="M4" s="479">
        <f>huishoudens!M8</f>
        <v>0</v>
      </c>
      <c r="N4" s="479">
        <f>huishoudens!N8</f>
        <v>8790.294816655196</v>
      </c>
      <c r="O4" s="479">
        <f>huishoudens!O8</f>
        <v>145.39000000000001</v>
      </c>
      <c r="P4" s="480">
        <f>huishoudens!P8</f>
        <v>591.06666666666661</v>
      </c>
      <c r="Q4" s="481">
        <f>SUM(B4:P4)</f>
        <v>78406.819734423014</v>
      </c>
    </row>
    <row r="5" spans="1:17">
      <c r="A5" s="478" t="s">
        <v>156</v>
      </c>
      <c r="B5" s="479">
        <f ca="1">tertiair!B16</f>
        <v>6622.7089999999998</v>
      </c>
      <c r="C5" s="479">
        <f ca="1">tertiair!C16</f>
        <v>0</v>
      </c>
      <c r="D5" s="479">
        <f ca="1">tertiair!D16</f>
        <v>5093.1475099999998</v>
      </c>
      <c r="E5" s="479">
        <f>tertiair!E16</f>
        <v>50.784833974911258</v>
      </c>
      <c r="F5" s="479">
        <f ca="1">tertiair!F16</f>
        <v>1014.8976888493368</v>
      </c>
      <c r="G5" s="479">
        <f>tertiair!G16</f>
        <v>0</v>
      </c>
      <c r="H5" s="479">
        <f>tertiair!H16</f>
        <v>0</v>
      </c>
      <c r="I5" s="479">
        <f>tertiair!I16</f>
        <v>0</v>
      </c>
      <c r="J5" s="479">
        <f>tertiair!J16</f>
        <v>0</v>
      </c>
      <c r="K5" s="479">
        <f>tertiair!K16</f>
        <v>0</v>
      </c>
      <c r="L5" s="479">
        <f ca="1">tertiair!L16</f>
        <v>0</v>
      </c>
      <c r="M5" s="479">
        <f>tertiair!M16</f>
        <v>0</v>
      </c>
      <c r="N5" s="479">
        <f ca="1">tertiair!N16</f>
        <v>1023.8759925315247</v>
      </c>
      <c r="O5" s="479">
        <f>tertiair!O16</f>
        <v>0</v>
      </c>
      <c r="P5" s="480">
        <f>tertiair!P16</f>
        <v>0</v>
      </c>
      <c r="Q5" s="478">
        <f t="shared" ref="Q5:Q13" ca="1" si="0">SUM(B5:P5)</f>
        <v>13805.415025355771</v>
      </c>
    </row>
    <row r="6" spans="1:17">
      <c r="A6" s="478" t="s">
        <v>194</v>
      </c>
      <c r="B6" s="479">
        <f>'openbare verlichting'!B8</f>
        <v>455.05700000000002</v>
      </c>
      <c r="C6" s="479"/>
      <c r="D6" s="479"/>
      <c r="E6" s="479"/>
      <c r="F6" s="479"/>
      <c r="G6" s="479"/>
      <c r="H6" s="479"/>
      <c r="I6" s="479"/>
      <c r="J6" s="479"/>
      <c r="K6" s="479"/>
      <c r="L6" s="479"/>
      <c r="M6" s="479"/>
      <c r="N6" s="479"/>
      <c r="O6" s="479"/>
      <c r="P6" s="480"/>
      <c r="Q6" s="478">
        <f t="shared" si="0"/>
        <v>455.05700000000002</v>
      </c>
    </row>
    <row r="7" spans="1:17">
      <c r="A7" s="478" t="s">
        <v>112</v>
      </c>
      <c r="B7" s="479">
        <f>landbouw!B8</f>
        <v>2143.049</v>
      </c>
      <c r="C7" s="479">
        <f>landbouw!C8</f>
        <v>15907.5</v>
      </c>
      <c r="D7" s="479">
        <f>landbouw!D8</f>
        <v>81.707287999999991</v>
      </c>
      <c r="E7" s="479">
        <f>landbouw!E8</f>
        <v>19.849817429429532</v>
      </c>
      <c r="F7" s="479">
        <f>landbouw!F8</f>
        <v>5437.3235634155453</v>
      </c>
      <c r="G7" s="479">
        <f>landbouw!G8</f>
        <v>0</v>
      </c>
      <c r="H7" s="479">
        <f>landbouw!H8</f>
        <v>0</v>
      </c>
      <c r="I7" s="479">
        <f>landbouw!I8</f>
        <v>0</v>
      </c>
      <c r="J7" s="479">
        <f>landbouw!J8</f>
        <v>328.55332819664261</v>
      </c>
      <c r="K7" s="479">
        <f>landbouw!K8</f>
        <v>0</v>
      </c>
      <c r="L7" s="479">
        <f>landbouw!L8</f>
        <v>0</v>
      </c>
      <c r="M7" s="479">
        <f>landbouw!M8</f>
        <v>0</v>
      </c>
      <c r="N7" s="479">
        <f>landbouw!N8</f>
        <v>0</v>
      </c>
      <c r="O7" s="479">
        <f>landbouw!O8</f>
        <v>0</v>
      </c>
      <c r="P7" s="480">
        <f>landbouw!P8</f>
        <v>0</v>
      </c>
      <c r="Q7" s="478">
        <f t="shared" si="0"/>
        <v>23917.982997041618</v>
      </c>
    </row>
    <row r="8" spans="1:17">
      <c r="A8" s="478" t="s">
        <v>650</v>
      </c>
      <c r="B8" s="479">
        <f>industrie!B18</f>
        <v>1033.4190000000001</v>
      </c>
      <c r="C8" s="479">
        <f>industrie!C18</f>
        <v>0</v>
      </c>
      <c r="D8" s="479">
        <f>industrie!D18</f>
        <v>606.70143600000006</v>
      </c>
      <c r="E8" s="479">
        <f>industrie!E18</f>
        <v>153.95262375556118</v>
      </c>
      <c r="F8" s="479">
        <f>industrie!F18</f>
        <v>752.47349948295903</v>
      </c>
      <c r="G8" s="479">
        <f>industrie!G18</f>
        <v>0</v>
      </c>
      <c r="H8" s="479">
        <f>industrie!H18</f>
        <v>0</v>
      </c>
      <c r="I8" s="479">
        <f>industrie!I18</f>
        <v>0</v>
      </c>
      <c r="J8" s="479">
        <f>industrie!J18</f>
        <v>3.6208287934473646</v>
      </c>
      <c r="K8" s="479">
        <f>industrie!K18</f>
        <v>0</v>
      </c>
      <c r="L8" s="479">
        <f>industrie!L18</f>
        <v>0</v>
      </c>
      <c r="M8" s="479">
        <f>industrie!M18</f>
        <v>0</v>
      </c>
      <c r="N8" s="479">
        <f>industrie!N18</f>
        <v>263.24887281464538</v>
      </c>
      <c r="O8" s="479">
        <f>industrie!O18</f>
        <v>0</v>
      </c>
      <c r="P8" s="480">
        <f>industrie!P18</f>
        <v>0</v>
      </c>
      <c r="Q8" s="478">
        <f t="shared" si="0"/>
        <v>2813.4162608466131</v>
      </c>
    </row>
    <row r="9" spans="1:17" s="484" customFormat="1">
      <c r="A9" s="482" t="s">
        <v>571</v>
      </c>
      <c r="B9" s="483">
        <f>transport!B14</f>
        <v>8.8344806599839867</v>
      </c>
      <c r="C9" s="483">
        <f>transport!C14</f>
        <v>0</v>
      </c>
      <c r="D9" s="483">
        <f>transport!D14</f>
        <v>23.861222490899809</v>
      </c>
      <c r="E9" s="483">
        <f>transport!E14</f>
        <v>151.4121466462372</v>
      </c>
      <c r="F9" s="483">
        <f>transport!F14</f>
        <v>0</v>
      </c>
      <c r="G9" s="483">
        <f>transport!G14</f>
        <v>43021.414327418264</v>
      </c>
      <c r="H9" s="483">
        <f>transport!H14</f>
        <v>9002.9742212392721</v>
      </c>
      <c r="I9" s="483">
        <f>transport!I14</f>
        <v>0</v>
      </c>
      <c r="J9" s="483">
        <f>transport!J14</f>
        <v>0</v>
      </c>
      <c r="K9" s="483">
        <f>transport!K14</f>
        <v>0</v>
      </c>
      <c r="L9" s="483">
        <f>transport!L14</f>
        <v>0</v>
      </c>
      <c r="M9" s="483">
        <f>transport!M14</f>
        <v>2765.7393958548209</v>
      </c>
      <c r="N9" s="483">
        <f>transport!N14</f>
        <v>0</v>
      </c>
      <c r="O9" s="483">
        <f>transport!O14</f>
        <v>0</v>
      </c>
      <c r="P9" s="483">
        <f>transport!P14</f>
        <v>0</v>
      </c>
      <c r="Q9" s="482">
        <f>SUM(B9:P9)</f>
        <v>54974.235794309476</v>
      </c>
    </row>
    <row r="10" spans="1:17">
      <c r="A10" s="478" t="s">
        <v>561</v>
      </c>
      <c r="B10" s="479">
        <f>transport!B54</f>
        <v>0</v>
      </c>
      <c r="C10" s="479">
        <f>transport!C54</f>
        <v>0</v>
      </c>
      <c r="D10" s="479">
        <f>transport!D54</f>
        <v>0</v>
      </c>
      <c r="E10" s="479">
        <f>transport!E54</f>
        <v>0</v>
      </c>
      <c r="F10" s="479">
        <f>transport!F54</f>
        <v>0</v>
      </c>
      <c r="G10" s="479">
        <f>transport!G54</f>
        <v>901.95931431803604</v>
      </c>
      <c r="H10" s="479">
        <f>transport!H54</f>
        <v>0</v>
      </c>
      <c r="I10" s="479">
        <f>transport!I54</f>
        <v>0</v>
      </c>
      <c r="J10" s="479">
        <f>transport!J54</f>
        <v>0</v>
      </c>
      <c r="K10" s="479">
        <f>transport!K54</f>
        <v>0</v>
      </c>
      <c r="L10" s="479">
        <f>transport!L54</f>
        <v>0</v>
      </c>
      <c r="M10" s="479">
        <f>transport!M54</f>
        <v>51.436110342119349</v>
      </c>
      <c r="N10" s="479">
        <f>transport!N54</f>
        <v>0</v>
      </c>
      <c r="O10" s="479">
        <f>transport!O54</f>
        <v>0</v>
      </c>
      <c r="P10" s="480">
        <f>transport!P54</f>
        <v>0</v>
      </c>
      <c r="Q10" s="478">
        <f t="shared" si="0"/>
        <v>953.39542466015541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24836.084605098087</v>
      </c>
      <c r="C14" s="489">
        <f t="shared" ref="C14:Q14" ca="1" si="1">SUM(C4:C13)</f>
        <v>15907.5</v>
      </c>
      <c r="D14" s="489">
        <f t="shared" ca="1" si="1"/>
        <v>24089.926204490901</v>
      </c>
      <c r="E14" s="489">
        <f t="shared" si="1"/>
        <v>3466.6078962863235</v>
      </c>
      <c r="F14" s="489">
        <f t="shared" ca="1" si="1"/>
        <v>40136.629655930708</v>
      </c>
      <c r="G14" s="489">
        <f t="shared" si="1"/>
        <v>43923.373641736303</v>
      </c>
      <c r="H14" s="489">
        <f t="shared" si="1"/>
        <v>9002.9742212392721</v>
      </c>
      <c r="I14" s="489">
        <f t="shared" si="1"/>
        <v>0</v>
      </c>
      <c r="J14" s="489">
        <f t="shared" si="1"/>
        <v>332.17415699008995</v>
      </c>
      <c r="K14" s="489">
        <f t="shared" si="1"/>
        <v>0</v>
      </c>
      <c r="L14" s="489">
        <f t="shared" ca="1" si="1"/>
        <v>0</v>
      </c>
      <c r="M14" s="489">
        <f t="shared" si="1"/>
        <v>2817.1755061969402</v>
      </c>
      <c r="N14" s="489">
        <f t="shared" ca="1" si="1"/>
        <v>10077.419682001366</v>
      </c>
      <c r="O14" s="489">
        <f t="shared" si="1"/>
        <v>145.39000000000001</v>
      </c>
      <c r="P14" s="490">
        <f t="shared" si="1"/>
        <v>591.06666666666661</v>
      </c>
      <c r="Q14" s="490">
        <f t="shared" ca="1" si="1"/>
        <v>175326.32223663665</v>
      </c>
    </row>
    <row r="16" spans="1:17">
      <c r="A16" s="492" t="s">
        <v>566</v>
      </c>
      <c r="B16" s="842">
        <f ca="1">huishoudens!B10</f>
        <v>9.1705790181106833E-2</v>
      </c>
      <c r="C16" s="842">
        <f ca="1">huishoudens!C10</f>
        <v>2.2418289773042566E-4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1336.4299590136072</v>
      </c>
      <c r="C21" s="479">
        <f t="shared" ref="C21:C30" ca="1" si="3">C4*$C$16</f>
        <v>0</v>
      </c>
      <c r="D21" s="479">
        <f t="shared" ref="D21:D30" si="4">D4*$D$16</f>
        <v>3693.4707670960001</v>
      </c>
      <c r="E21" s="479">
        <f t="shared" ref="E21:E30" si="5">E4*$E$16</f>
        <v>701.56812370700197</v>
      </c>
      <c r="F21" s="479">
        <f t="shared" ref="F21:F30" si="6">F4*$F$16</f>
        <v>8792.8266194168282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14524.295469233439</v>
      </c>
    </row>
    <row r="22" spans="1:17">
      <c r="A22" s="478" t="s">
        <v>156</v>
      </c>
      <c r="B22" s="479">
        <f t="shared" ca="1" si="2"/>
        <v>607.34076198452783</v>
      </c>
      <c r="C22" s="479">
        <f t="shared" ca="1" si="3"/>
        <v>0</v>
      </c>
      <c r="D22" s="479">
        <f t="shared" ca="1" si="4"/>
        <v>1028.81579702</v>
      </c>
      <c r="E22" s="479">
        <f t="shared" si="5"/>
        <v>11.528157312304856</v>
      </c>
      <c r="F22" s="479">
        <f t="shared" ca="1" si="6"/>
        <v>270.97768292277294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1918.6623992396057</v>
      </c>
    </row>
    <row r="23" spans="1:17">
      <c r="A23" s="478" t="s">
        <v>194</v>
      </c>
      <c r="B23" s="479">
        <f t="shared" ca="1" si="2"/>
        <v>41.731361762443932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41.731361762443932</v>
      </c>
    </row>
    <row r="24" spans="1:17">
      <c r="A24" s="478" t="s">
        <v>112</v>
      </c>
      <c r="B24" s="479">
        <f t="shared" ca="1" si="2"/>
        <v>196.53000194183082</v>
      </c>
      <c r="C24" s="479">
        <f t="shared" ca="1" si="3"/>
        <v>3.5661894456467462</v>
      </c>
      <c r="D24" s="479">
        <f t="shared" si="4"/>
        <v>16.504872175999999</v>
      </c>
      <c r="E24" s="479">
        <f t="shared" si="5"/>
        <v>4.5059085564805041</v>
      </c>
      <c r="F24" s="479">
        <f t="shared" si="6"/>
        <v>1451.7653914319508</v>
      </c>
      <c r="G24" s="479">
        <f t="shared" si="7"/>
        <v>0</v>
      </c>
      <c r="H24" s="479">
        <f t="shared" si="8"/>
        <v>0</v>
      </c>
      <c r="I24" s="479">
        <f t="shared" si="9"/>
        <v>0</v>
      </c>
      <c r="J24" s="479">
        <f t="shared" si="10"/>
        <v>116.30787818161147</v>
      </c>
      <c r="K24" s="479">
        <f t="shared" si="11"/>
        <v>0</v>
      </c>
      <c r="L24" s="479">
        <f t="shared" si="12"/>
        <v>0</v>
      </c>
      <c r="M24" s="479">
        <f t="shared" si="13"/>
        <v>0</v>
      </c>
      <c r="N24" s="479">
        <f t="shared" si="14"/>
        <v>0</v>
      </c>
      <c r="O24" s="479">
        <f t="shared" si="15"/>
        <v>0</v>
      </c>
      <c r="P24" s="480">
        <f t="shared" si="16"/>
        <v>0</v>
      </c>
      <c r="Q24" s="478">
        <f t="shared" ca="1" si="17"/>
        <v>1789.1802417335202</v>
      </c>
    </row>
    <row r="25" spans="1:17">
      <c r="A25" s="478" t="s">
        <v>650</v>
      </c>
      <c r="B25" s="479">
        <f t="shared" ca="1" si="2"/>
        <v>94.770505983169258</v>
      </c>
      <c r="C25" s="479">
        <f t="shared" ca="1" si="3"/>
        <v>0</v>
      </c>
      <c r="D25" s="479">
        <f t="shared" si="4"/>
        <v>122.55369007200002</v>
      </c>
      <c r="E25" s="479">
        <f t="shared" si="5"/>
        <v>34.947245592512388</v>
      </c>
      <c r="F25" s="479">
        <f t="shared" si="6"/>
        <v>200.91042436195008</v>
      </c>
      <c r="G25" s="479">
        <f t="shared" si="7"/>
        <v>0</v>
      </c>
      <c r="H25" s="479">
        <f t="shared" si="8"/>
        <v>0</v>
      </c>
      <c r="I25" s="479">
        <f t="shared" si="9"/>
        <v>0</v>
      </c>
      <c r="J25" s="479">
        <f t="shared" si="10"/>
        <v>1.281773392880367</v>
      </c>
      <c r="K25" s="479">
        <f t="shared" si="11"/>
        <v>0</v>
      </c>
      <c r="L25" s="479">
        <f t="shared" si="12"/>
        <v>0</v>
      </c>
      <c r="M25" s="479">
        <f t="shared" si="13"/>
        <v>0</v>
      </c>
      <c r="N25" s="479">
        <f t="shared" si="14"/>
        <v>0</v>
      </c>
      <c r="O25" s="479">
        <f t="shared" si="15"/>
        <v>0</v>
      </c>
      <c r="P25" s="480">
        <f t="shared" si="16"/>
        <v>0</v>
      </c>
      <c r="Q25" s="478">
        <f t="shared" ca="1" si="17"/>
        <v>454.46363940251217</v>
      </c>
    </row>
    <row r="26" spans="1:17" s="484" customFormat="1">
      <c r="A26" s="482" t="s">
        <v>571</v>
      </c>
      <c r="B26" s="836">
        <f t="shared" ca="1" si="2"/>
        <v>0.81017302976353767</v>
      </c>
      <c r="C26" s="483">
        <f t="shared" ca="1" si="3"/>
        <v>0</v>
      </c>
      <c r="D26" s="483">
        <f t="shared" si="4"/>
        <v>4.819966943161762</v>
      </c>
      <c r="E26" s="483">
        <f t="shared" si="5"/>
        <v>34.370557288695849</v>
      </c>
      <c r="F26" s="483">
        <f t="shared" si="6"/>
        <v>0</v>
      </c>
      <c r="G26" s="483">
        <f t="shared" si="7"/>
        <v>11486.717625420677</v>
      </c>
      <c r="H26" s="483">
        <f t="shared" si="8"/>
        <v>2241.7405810885789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13768.458903770877</v>
      </c>
    </row>
    <row r="27" spans="1:17">
      <c r="A27" s="478" t="s">
        <v>561</v>
      </c>
      <c r="B27" s="479">
        <f t="shared" ca="1" si="2"/>
        <v>0</v>
      </c>
      <c r="C27" s="479">
        <f t="shared" ca="1" si="3"/>
        <v>0</v>
      </c>
      <c r="D27" s="479">
        <f t="shared" si="4"/>
        <v>0</v>
      </c>
      <c r="E27" s="479">
        <f t="shared" si="5"/>
        <v>0</v>
      </c>
      <c r="F27" s="479">
        <f t="shared" si="6"/>
        <v>0</v>
      </c>
      <c r="G27" s="479">
        <f t="shared" si="7"/>
        <v>240.82313692291564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240.82313692291564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2277.6127637153422</v>
      </c>
      <c r="C31" s="489">
        <f t="shared" ca="1" si="18"/>
        <v>3.5661894456467462</v>
      </c>
      <c r="D31" s="489">
        <f t="shared" ca="1" si="18"/>
        <v>4866.1650933071624</v>
      </c>
      <c r="E31" s="489">
        <f t="shared" si="18"/>
        <v>786.91999245699549</v>
      </c>
      <c r="F31" s="489">
        <f t="shared" ca="1" si="18"/>
        <v>10716.480118133501</v>
      </c>
      <c r="G31" s="489">
        <f t="shared" si="18"/>
        <v>11727.540762343593</v>
      </c>
      <c r="H31" s="489">
        <f t="shared" si="18"/>
        <v>2241.7405810885789</v>
      </c>
      <c r="I31" s="489">
        <f t="shared" si="18"/>
        <v>0</v>
      </c>
      <c r="J31" s="489">
        <f t="shared" si="18"/>
        <v>117.58965157449184</v>
      </c>
      <c r="K31" s="489">
        <f t="shared" si="18"/>
        <v>0</v>
      </c>
      <c r="L31" s="489">
        <f t="shared" ca="1" si="18"/>
        <v>0</v>
      </c>
      <c r="M31" s="489">
        <f t="shared" si="18"/>
        <v>0</v>
      </c>
      <c r="N31" s="489">
        <f t="shared" ca="1" si="18"/>
        <v>0</v>
      </c>
      <c r="O31" s="489">
        <f t="shared" si="18"/>
        <v>0</v>
      </c>
      <c r="P31" s="490">
        <f t="shared" si="18"/>
        <v>0</v>
      </c>
      <c r="Q31" s="490">
        <f t="shared" ca="1" si="18"/>
        <v>32737.615152065311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9.1705790181106833E-2</v>
      </c>
      <c r="C17" s="529">
        <f ca="1">'EF ele_warmte'!B22</f>
        <v>2.2418289773042566E-4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9.1705790181106833E-2</v>
      </c>
      <c r="C17" s="529">
        <f ca="1">'EF ele_warmte'!B22</f>
        <v>2.2418289773042566E-4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9.1705790181106833E-2</v>
      </c>
      <c r="C29" s="530">
        <f ca="1">'EF ele_warmte'!B22</f>
        <v>2.2418289773042566E-4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2018-06-27T09:38:49Z</dcterms:modified>
</cp:coreProperties>
</file>