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O60"/>
  <c r="N60"/>
  <c r="M60"/>
  <c r="W59"/>
  <c r="V59"/>
  <c r="U59"/>
  <c r="T59"/>
  <c r="S59"/>
  <c r="R59"/>
  <c r="Q59"/>
  <c r="P59"/>
  <c r="D13" i="15" s="1"/>
  <c r="O59" i="18"/>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C16" i="15" l="1"/>
  <c r="D10" i="14" s="1"/>
  <c r="L6" i="17"/>
  <c r="L5" s="1"/>
  <c r="F8"/>
  <c r="B8" i="9"/>
  <c r="B6" i="48" s="1"/>
  <c r="Q6" s="1"/>
  <c r="D6" i="17"/>
  <c r="D8" s="1"/>
  <c r="J15" i="16"/>
  <c r="L16"/>
  <c r="L18" s="1"/>
  <c r="L8" i="48" s="1"/>
  <c r="B13" i="16"/>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G22"/>
  <c r="B97" i="18"/>
  <c r="B101" s="1"/>
  <c r="C16" s="1"/>
  <c r="D78" i="14" s="1"/>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12" i="17" l="1"/>
  <c r="K48" i="14" s="1"/>
  <c r="J7" i="48"/>
  <c r="J24" s="1"/>
  <c r="B34" i="13"/>
  <c r="L22" i="16"/>
  <c r="M39" i="14" s="1"/>
  <c r="M13"/>
  <c r="Q13"/>
  <c r="J15"/>
  <c r="J23" s="1"/>
  <c r="N8" i="17"/>
  <c r="O22" i="14" s="1"/>
  <c r="B35" i="13"/>
  <c r="O22" i="16"/>
  <c r="P39" i="14" s="1"/>
  <c r="O18" i="16"/>
  <c r="B36" i="13"/>
  <c r="G31" i="20"/>
  <c r="H43" i="14" s="1"/>
  <c r="G12" i="22"/>
  <c r="D18" i="16"/>
  <c r="D22" s="1"/>
  <c r="E39" i="14" s="1"/>
  <c r="F22"/>
  <c r="E8" i="17"/>
  <c r="E12" s="1"/>
  <c r="F48" i="14" s="1"/>
  <c r="H13" i="48"/>
  <c r="H30" s="1"/>
  <c r="H12" i="22"/>
  <c r="L8" i="17"/>
  <c r="L12" s="1"/>
  <c r="M48" i="14" s="1"/>
  <c r="M50" i="22"/>
  <c r="M54" s="1"/>
  <c r="M10" i="48" s="1"/>
  <c r="M27" s="1"/>
  <c r="G51" i="22"/>
  <c r="G50" s="1"/>
  <c r="G54" s="1"/>
  <c r="H18" i="14" s="1"/>
  <c r="P13"/>
  <c r="E22"/>
  <c r="O8" i="48"/>
  <c r="O25" s="1"/>
  <c r="B9"/>
  <c r="E100" i="18"/>
  <c r="E7" s="1"/>
  <c r="F67" i="14" s="1"/>
  <c r="F69" s="1"/>
  <c r="F7" i="48"/>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F5" i="15"/>
  <c r="F16" s="1"/>
  <c r="B5"/>
  <c r="B16" s="1"/>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P41" i="14"/>
  <c r="P53" s="1"/>
  <c r="P55" s="1"/>
  <c r="N7" i="48"/>
  <c r="N24" s="1"/>
  <c r="E13" i="14"/>
  <c r="D8" i="48"/>
  <c r="D25" s="1"/>
  <c r="J16" i="15"/>
  <c r="J5" i="48" s="1"/>
  <c r="J22" s="1"/>
  <c r="E20" i="15"/>
  <c r="F36" i="14" s="1"/>
  <c r="E16" i="15"/>
  <c r="F10" i="14" s="1"/>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G9"/>
  <c r="R17" i="14"/>
  <c r="Q13" i="48"/>
  <c r="M18" i="22"/>
  <c r="N45" i="14" s="1"/>
  <c r="M9" i="48"/>
  <c r="N19" i="14"/>
  <c r="P14" i="48"/>
  <c r="B8"/>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N20" i="14" l="1"/>
  <c r="N23" s="1"/>
  <c r="E5" i="48"/>
  <c r="E22" s="1"/>
  <c r="F18" i="16"/>
  <c r="G13" i="14" s="1"/>
  <c r="G15" s="1"/>
  <c r="G23" s="1"/>
  <c r="M16" i="18"/>
  <c r="M19" s="1"/>
  <c r="K10" i="14"/>
  <c r="R10" s="1"/>
  <c r="J18" i="16"/>
  <c r="J22" s="1"/>
  <c r="K39" i="14" s="1"/>
  <c r="K41" s="1"/>
  <c r="K53" s="1"/>
  <c r="Q7" i="48"/>
  <c r="E8"/>
  <c r="E25" s="1"/>
  <c r="E31" s="1"/>
  <c r="E18" i="16"/>
  <c r="E22" s="1"/>
  <c r="F39" i="14" s="1"/>
  <c r="F41" s="1"/>
  <c r="F53" s="1"/>
  <c r="J20" i="15"/>
  <c r="K36" i="14" s="1"/>
  <c r="J9" i="18"/>
  <c r="M7"/>
  <c r="M9" s="1"/>
  <c r="N18" i="16"/>
  <c r="N8" i="48" s="1"/>
  <c r="L31"/>
  <c r="N46" i="14"/>
  <c r="N53" s="1"/>
  <c r="N55" s="1"/>
  <c r="G18" i="22"/>
  <c r="H45" i="14" s="1"/>
  <c r="H46" s="1"/>
  <c r="H53" s="1"/>
  <c r="I19" i="18"/>
  <c r="J19"/>
  <c r="K78" i="14"/>
  <c r="K81" s="1"/>
  <c r="I81"/>
  <c r="O78"/>
  <c r="O81" s="1"/>
  <c r="B17" i="6" s="1"/>
  <c r="B22" s="1"/>
  <c r="E23" i="14"/>
  <c r="D14" i="48"/>
  <c r="B14"/>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F22" i="16"/>
  <c r="G39" i="14" s="1"/>
  <c r="G41" s="1"/>
  <c r="Q4" i="48"/>
  <c r="N22"/>
  <c r="R11" i="14"/>
  <c r="J21" i="48"/>
  <c r="C29" i="20" l="1"/>
  <c r="C17" i="19"/>
  <c r="C19" s="1"/>
  <c r="D35" i="14" s="1"/>
  <c r="C20" i="16"/>
  <c r="C22" s="1"/>
  <c r="D39" i="14" s="1"/>
  <c r="C18" i="15"/>
  <c r="C20" s="1"/>
  <c r="D36" i="14" s="1"/>
  <c r="C10" i="13"/>
  <c r="C16" i="48" s="1"/>
  <c r="C30" s="1"/>
  <c r="C16" i="22"/>
  <c r="C10" i="17"/>
  <c r="C12" s="1"/>
  <c r="D48" i="14" s="1"/>
  <c r="C56" i="22"/>
  <c r="C58" s="1"/>
  <c r="D44" i="14" s="1"/>
  <c r="D46" s="1"/>
  <c r="C17" i="49"/>
  <c r="N25" i="48"/>
  <c r="N31" s="1"/>
  <c r="N14"/>
  <c r="O13" i="14"/>
  <c r="O15" s="1"/>
  <c r="K13"/>
  <c r="N22" i="16"/>
  <c r="O39" i="14" s="1"/>
  <c r="O41" s="1"/>
  <c r="O53" s="1"/>
  <c r="F8" i="48"/>
  <c r="F14" s="1"/>
  <c r="E14"/>
  <c r="K15" i="14"/>
  <c r="K23" s="1"/>
  <c r="K55" s="1"/>
  <c r="H55"/>
  <c r="E55"/>
  <c r="C78"/>
  <c r="C81" s="1"/>
  <c r="J14" i="48"/>
  <c r="J31"/>
  <c r="Q8"/>
  <c r="Q14" s="1"/>
  <c r="R19" i="14"/>
  <c r="R20" s="1"/>
  <c r="H14" i="48"/>
  <c r="G31"/>
  <c r="H26"/>
  <c r="H31" s="1"/>
  <c r="F55" i="14"/>
  <c r="G53"/>
  <c r="G55" s="1"/>
  <c r="O69" s="1"/>
  <c r="B9" i="6" s="1"/>
  <c r="B12" s="1"/>
  <c r="M53" i="14"/>
  <c r="M55" s="1"/>
  <c r="C12" i="13"/>
  <c r="D37" i="14" s="1"/>
  <c r="D41" s="1"/>
  <c r="C23" i="48"/>
  <c r="C24"/>
  <c r="C27"/>
  <c r="C28"/>
  <c r="C25"/>
  <c r="C29"/>
  <c r="C21"/>
  <c r="C26"/>
  <c r="R13" i="14"/>
  <c r="R15" s="1"/>
  <c r="F25" i="48" l="1"/>
  <c r="F31" s="1"/>
  <c r="C22"/>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<sst xmlns="http://schemas.openxmlformats.org/spreadsheetml/2006/main" count="1968" uniqueCount="844">
  <si>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</si>
  <si>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</si>
  <si>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</si>
  <si>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</si>
  <si>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</si>
  <si>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</si>
  <si>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</si>
  <si>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</si>
  <si>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</si>
  <si>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</si>
  <si>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</si>
  <si>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</si>
  <si>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</si>
  <si>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</si>
  <si>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</si>
  <si>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</si>
  <si>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</si>
  <si>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</si>
  <si>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</si>
  <si>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</si>
  <si>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</si>
  <si>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</si>
  <si>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</si>
  <si>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</si>
  <si>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</si>
  <si>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</si>
  <si>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</si>
  <si>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</si>
  <si>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</si>
  <si>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</si>
  <si>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</si>
  <si>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</si>
  <si>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</si>
  <si>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</si>
  <si>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</si>
  <si>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</si>
  <si>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</si>
  <si>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</si>
  <si>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</si>
  <si>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</si>
  <si>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</si>
  <si>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</si>
  <si>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</si>
  <si>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</si>
  <si>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</si>
  <si>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</si>
  <si>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</si>
  <si>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</si>
  <si>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</si>
  <si>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</si>
  <si>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</si>
  <si>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</si>
  <si>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</si>
  <si>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</si>
  <si>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</si>
  <si>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</si>
  <si>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</si>
  <si>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</si>
  <si>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</si>
  <si>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</si>
  <si>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</si>
  <si>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</si>
  <si>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</si>
  <si>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</si>
  <si>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</si>
  <si>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</si>
  <si>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</si>
  <si>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</si>
  <si>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</si>
  <si>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</si>
  <si>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</si>
  <si>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</si>
  <si>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</si>
  <si>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</si>
  <si>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</si>
  <si>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</si>
  <si>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</si>
  <si>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</si>
  <si>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</si>
  <si>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</si>
  <si>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</si>
  <si>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</si>
  <si>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</si>
  <si>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</si>
  <si>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</si>
  <si>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</si>
  <si>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</si>
  <si>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</si>
  <si>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</si>
  <si>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</si>
  <si>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</si>
  <si>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</si>
  <si>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</si>
  <si>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</si>
  <si>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</si>
  <si>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</si>
  <si>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</si>
  <si>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</si>
  <si>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</si>
  <si>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</si>
  <si>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</si>
  <si>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</si>
  <si>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</si>
  <si>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</si>
  <si>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</si>
  <si>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</si>
  <si>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</si>
  <si>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</si>
  <si>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</si>
  <si>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</si>
  <si>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</si>
  <si>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</si>
  <si>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</si>
  <si>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</si>
  <si>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</si>
  <si>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</si>
  <si>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</si>
  <si>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</si>
  <si>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</si>
  <si>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</si>
  <si>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</si>
  <si>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</si>
  <si>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</si>
  <si>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</si>
  <si>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</si>
  <si>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</si>
  <si>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</si>
  <si>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</si>
  <si>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</si>
  <si>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</si>
  <si>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</si>
  <si>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</si>
  <si>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</si>
  <si>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</si>
  <si>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</si>
  <si>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</si>
  <si>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</si>
  <si>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</si>
  <si>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</si>
  <si>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</si>
  <si>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</si>
  <si>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</si>
  <si>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</si>
  <si>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</si>
  <si>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</si>
  <si>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</si>
  <si>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</si>
  <si>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</si>
  <si>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</si>
  <si>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</si>
  <si>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</si>
  <si>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</si>
  <si>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</si>
  <si>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</si>
  <si>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</si>
  <si>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</si>
  <si>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</si>
  <si>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</si>
  <si>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</si>
  <si>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</si>
  <si>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</si>
  <si>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</si>
  <si>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</si>
  <si>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</si>
  <si>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</si>
  <si>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</si>
  <si>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</si>
  <si>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</si>
  <si>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</si>
  <si>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</si>
  <si>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</si>
  <si>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</si>
  <si>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</si>
  <si>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</si>
  <si>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</si>
  <si>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</si>
  <si>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</si>
  <si>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</si>
  <si>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</si>
  <si>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</si>
  <si>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</si>
  <si>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</si>
  <si>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</si>
  <si>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</si>
  <si>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</si>
  <si>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</si>
  <si>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</si>
  <si>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</si>
  <si>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</si>
  <si>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</si>
  <si>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</si>
  <si>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</si>
  <si>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</si>
  <si>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</si>
  <si>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</si>
  <si>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</si>
  <si>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</si>
  <si>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</si>
  <si>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</si>
  <si>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</si>
  <si>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</si>
  <si>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</si>
  <si>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</si>
  <si>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</si>
  <si>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</si>
  <si>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</si>
  <si>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</si>
  <si>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</si>
  <si>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</si>
  <si>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</si>
  <si>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</si>
  <si>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</si>
  <si>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</si>
  <si>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</si>
  <si>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</si>
  <si>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</si>
  <si>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</si>
  <si>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</si>
  <si>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</si>
  <si>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</si>
  <si>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</si>
  <si>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</si>
  <si>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</si>
  <si>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</si>
  <si>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</si>
  <si>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</si>
  <si>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</si>
  <si>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</si>
  <si>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</si>
  <si>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</si>
  <si>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</si>
  <si>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</si>
  <si>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</si>
  <si>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</si>
  <si>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</si>
  <si>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</si>
  <si>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</si>
  <si>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</si>
  <si>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</si>
  <si>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</si>
  <si>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</si>
  <si>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</si>
  <si>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</si>
  <si>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</si>
  <si>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</si>
  <si>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</si>
  <si>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</si>
  <si>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</si>
  <si>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</si>
  <si>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</si>
  <si>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</si>
  <si>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</si>
  <si>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</si>
  <si>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</si>
  <si>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</si>
  <si>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</si>
  <si>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</si>
  <si>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</si>
  <si>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</si>
  <si>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</si>
  <si>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</si>
  <si>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</si>
  <si>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</si>
  <si>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</si>
  <si>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</si>
  <si>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</si>
  <si>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</si>
  <si>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</si>
  <si>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</si>
  <si>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</si>
  <si>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</si>
  <si>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</si>
  <si>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</si>
  <si>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</si>
  <si>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</si>
  <si>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</si>
  <si>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</si>
  <si>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</si>
  <si>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</si>
  <si>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</si>
  <si>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</si>
  <si>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</si>
  <si>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</si>
  <si>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</si>
  <si>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</si>
  <si>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</si>
  <si>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</si>
  <si>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</si>
  <si>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</si>
  <si>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</si>
  <si>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</si>
  <si>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</si>
  <si>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</si>
  <si>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</si>
  <si>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</si>
  <si>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</si>
  <si>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</si>
  <si>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</si>
  <si>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</si>
  <si>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</si>
  <si>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</si>
  <si>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</si>
  <si>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</si>
  <si>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</si>
  <si>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</si>
  <si>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</si>
  <si>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</si>
  <si>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</si>
  <si>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</si>
  <si>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</si>
  <si>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</si>
  <si>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</si>
  <si>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</si>
  <si>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</si>
  <si>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</si>
  <si>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</si>
  <si>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</si>
  <si>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</si>
  <si>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</si>
  <si>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</si>
  <si>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</si>
  <si>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</si>
  <si>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</si>
  <si>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</si>
  <si>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</si>
  <si>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</si>
  <si>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</si>
  <si>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</si>
  <si>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</si>
  <si>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</si>
  <si>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</si>
  <si>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</si>
  <si>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</si>
  <si>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</si>
  <si>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</si>
  <si>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</si>
  <si>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</si>
  <si>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</si>
  <si>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</si>
  <si>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</si>
  <si>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</si>
  <si>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</si>
  <si>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</si>
  <si>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</si>
  <si>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</si>
  <si>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</si>
  <si>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</si>
  <si>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</si>
  <si>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</si>
  <si>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</si>
  <si>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</si>
  <si>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</si>
  <si>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</si>
  <si>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</si>
  <si>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</si>
  <si>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</si>
  <si>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</si>
  <si>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</si>
  <si>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</si>
  <si>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</si>
  <si>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</si>
  <si>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</si>
  <si>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</si>
  <si>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</si>
  <si>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</si>
  <si>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</si>
  <si>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</si>
  <si>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</si>
  <si>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</si>
  <si>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</si>
  <si>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</si>
  <si>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</si>
  <si>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</si>
  <si>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</si>
  <si>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</si>
  <si>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</si>
  <si>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</si>
  <si>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</si>
  <si>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</si>
  <si>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</si>
  <si>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</si>
  <si>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</si>
  <si>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</si>
  <si>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</si>
  <si>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</si>
  <si>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</si>
  <si>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</si>
  <si>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</si>
  <si>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</si>
  <si>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</si>
  <si>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</si>
  <si>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</si>
  <si>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</si>
  <si>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</si>
  <si>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</si>
  <si>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</si>
  <si>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</si>
  <si>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</si>
  <si>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</si>
  <si>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</si>
  <si>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</si>
  <si>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</si>
  <si>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</si>
  <si>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</si>
  <si>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</si>
  <si>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</si>
  <si>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</si>
  <si>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</si>
  <si>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</si>
  <si>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</si>
  <si>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</si>
  <si>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</si>
  <si>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</si>
  <si>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</si>
  <si>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</si>
  <si>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</si>
  <si>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</si>
  <si>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</si>
  <si>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</si>
  <si>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</si>
  <si>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</si>
  <si>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</si>
  <si>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</si>
  <si>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</si>
  <si>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</si>
  <si>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</si>
  <si>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</si>
  <si>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</si>
  <si>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</si>
  <si>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</si>
  <si>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</si>
  <si>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</si>
  <si>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</si>
  <si>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</si>
  <si>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</si>
  <si>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</si>
  <si>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</si>
  <si>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</si>
  <si>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</si>
  <si>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</si>
  <si>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</si>
  <si>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</si>
  <si>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</si>
  <si>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</si>
  <si>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</si>
  <si>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</si>
  <si>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</si>
  <si>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</si>
  <si>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</si>
  <si>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</si>
  <si>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</si>
  <si>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</si>
  <si>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</si>
  <si>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</si>
  <si>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</si>
  <si>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</si>
  <si>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</si>
  <si>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</si>
  <si>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</si>
  <si>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</si>
  <si>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</si>
  <si>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</si>
  <si>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</si>
  <si>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</si>
  <si>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</si>
  <si>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</si>
  <si>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</si>
  <si>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</si>
  <si>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</si>
  <si>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</si>
  <si>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</si>
  <si>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</si>
  <si>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</si>
  <si>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</si>
  <si>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</si>
  <si>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</si>
  <si>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</si>
  <si>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</si>
  <si>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</si>
  <si>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</si>
  <si>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</si>
  <si>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</si>
  <si>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</si>
  <si>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</si>
  <si>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</si>
  <si>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</si>
  <si>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</si>
  <si>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</si>
  <si>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</si>
  <si>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</si>
  <si>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</si>
  <si>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</si>
  <si>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</si>
  <si>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</si>
  <si>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</si>
  <si>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</si>
  <si>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</si>
  <si>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</si>
  <si>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</si>
  <si>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</si>
  <si>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</si>
  <si>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</si>
  <si>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</si>
  <si>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</si>
  <si>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</si>
  <si>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</si>
  <si>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</si>
  <si>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</si>
  <si>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</si>
  <si>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</si>
  <si>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</si>
  <si>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</si>
  <si>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</si>
  <si>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</si>
  <si>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</si>
  <si>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</si>
  <si>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</si>
  <si>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</si>
  <si>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</si>
  <si>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</si>
  <si>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</si>
  <si>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</si>
  <si>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</si>
  <si>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</si>
  <si>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</si>
  <si>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</si>
  <si>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</si>
  <si>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</si>
  <si>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</si>
  <si>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</si>
  <si>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</si>
  <si>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</si>
  <si>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</si>
  <si>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</si>
  <si>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</si>
  <si>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</si>
  <si>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</si>
  <si>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</si>
  <si>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</si>
  <si>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</si>
  <si>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</si>
  <si>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</si>
  <si>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</si>
  <si>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</si>
  <si>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</si>
  <si>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</si>
  <si>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</si>
  <si>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</si>
  <si>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</si>
  <si>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</si>
  <si>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</si>
  <si>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</si>
  <si>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</si>
  <si>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</si>
  <si>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</si>
  <si>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</si>
  <si>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</si>
  <si>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</si>
  <si>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</si>
  <si>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</si>
  <si>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</si>
  <si>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</si>
  <si>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</si>
  <si>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</si>
  <si>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</si>
  <si>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</si>
  <si>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</si>
  <si>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</si>
  <si>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</si>
  <si>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</si>
  <si>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</si>
  <si>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</si>
  <si>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</si>
  <si>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</si>
  <si>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</si>
  <si>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</si>
  <si>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</si>
  <si>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</si>
  <si>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</si>
  <si>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</si>
  <si>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</si>
  <si>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</si>
  <si>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</si>
  <si>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</si>
  <si>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</si>
  <si>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</si>
  <si>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</si>
  <si>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</si>
  <si>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</si>
  <si>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</si>
  <si>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</si>
  <si>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</si>
  <si>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</si>
  <si>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</si>
  <si>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</si>
  <si>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</si>
  <si>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</si>
  <si>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</si>
  <si>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</si>
  <si>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</si>
  <si>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</si>
  <si>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</si>
  <si>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</si>
  <si>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</si>
  <si>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</si>
  <si>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</si>
  <si>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</si>
  <si>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</si>
  <si>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</si>
  <si>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</si>
  <si>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</si>
  <si>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</si>
  <si>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</si>
  <si>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</si>
  <si>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</si>
  <si>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</si>
  <si>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</si>
  <si>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</si>
  <si>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</si>
  <si>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</si>
  <si>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</si>
  <si>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</si>
  <si>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</si>
  <si>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</si>
  <si>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</si>
  <si>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</si>
  <si>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</si>
  <si>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</si>
  <si>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</si>
  <si>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</si>
  <si>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</si>
  <si>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</si>
  <si>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</si>
  <si>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</si>
  <si>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</si>
  <si>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</si>
  <si>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</si>
  <si>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</si>
  <si>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</si>
  <si>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</si>
  <si>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</si>
  <si>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</si>
  <si>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</si>
  <si>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</si>
  <si>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</si>
  <si>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</si>
  <si>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</si>
  <si>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</si>
  <si>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</si>
  <si>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</si>
  <si>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</si>
  <si>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</si>
  <si>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</si>
  <si>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</si>
  <si>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</si>
  <si>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</si>
  <si>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</si>
  <si>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</si>
  <si>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</si>
  <si>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</si>
  <si>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</si>
  <si>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</si>
  <si>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</si>
  <si>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</si>
  <si>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</si>
  <si>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</si>
  <si>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</si>
  <si>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</si>
  <si>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</si>
  <si>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</si>
  <si>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</si>
  <si>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</si>
  <si>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</si>
  <si>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</si>
  <si>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</si>
  <si>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</si>
  <si>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</si>
  <si>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</si>
  <si>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</si>
  <si>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</si>
  <si>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</si>
  <si>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</si>
  <si>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</si>
  <si>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</si>
  <si>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</si>
  <si>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</si>
  <si>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</si>
  <si>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</si>
  <si>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</si>
  <si>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</si>
  <si>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</si>
  <si>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</si>
  <si>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</si>
  <si>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</si>
  <si>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</si>
  <si>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</si>
  <si>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</si>
  <si>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</si>
  <si>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</si>
  <si>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</si>
  <si>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</si>
  <si>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</si>
  <si>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</si>
  <si>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</si>
  <si>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</si>
  <si>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</si>
  <si>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</si>
  <si>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</si>
  <si>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</si>
  <si>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</si>
  <si>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</si>
  <si>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</si>
  <si>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</si>
  <si>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</si>
  <si>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</si>
  <si>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</si>
  <si>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</si>
  <si>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</si>
  <si>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</si>
  <si>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</si>
  <si>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</si>
  <si>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</si>
  <si>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</si>
  <si>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</si>
  <si>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</si>
  <si>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</si>
  <si>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</si>
  <si>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</si>
  <si>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</si>
  <si>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</si>
  <si>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</si>
  <si>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</si>
  <si>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</si>
  <si>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</si>
  <si>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</si>
  <si>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</si>
  <si>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</si>
  <si>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</si>
  <si>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</si>
  <si>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</si>
  <si>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</si>
  <si>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</si>
  <si>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</si>
  <si>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</si>
  <si>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</si>
  <si>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</si>
  <si>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</si>
  <si>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</si>
  <si>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</si>
  <si>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</si>
  <si>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</si>
  <si>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</si>
  <si>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</si>
  <si>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</si>
  <si>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</si>
  <si>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</si>
  <si>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</si>
  <si>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</si>
  <si>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</si>
  <si>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</si>
  <si>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</si>
  <si>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</si>
  <si>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</si>
  <si>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</si>
  <si>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</si>
  <si>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</si>
  <si>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</si>
  <si>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</si>
  <si>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</si>
  <si>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</si>
  <si>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</si>
  <si>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</si>
  <si>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</si>
  <si>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</si>
  <si>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</si>
  <si>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</si>
  <si>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</si>
  <si>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</si>
  <si>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</si>
  <si>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</si>
  <si>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</si>
  <si>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</si>
  <si>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</si>
  <si>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</si>
  <si>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</si>
  <si>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</si>
  <si>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</si>
  <si>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</si>
  <si>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</si>
  <si>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</si>
  <si>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</si>
  <si>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</si>
  <si>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</si>
  <si>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</si>
  <si>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</si>
  <si>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</si>
  <si>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</si>
  <si>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</si>
  <si>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</si>
  <si>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</si>
  <si>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</si>
  <si>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</si>
  <si>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</si>
  <si>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</si>
  <si>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</si>
  <si>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</si>
  <si>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</si>
  <si>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</si>
  <si>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</si>
  <si>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</si>
  <si>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</si>
  <si>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</si>
  <si>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</si>
  <si>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</si>
  <si>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</si>
  <si>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</si>
  <si>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</si>
  <si>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</si>
  <si>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</si>
  <si>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</si>
  <si>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</si>
  <si>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</si>
  <si>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</si>
  <si>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</si>
  <si>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</si>
  <si>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</si>
  <si>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73001</t>
  </si>
  <si>
    <t>ALKEN</t>
  </si>
  <si>
    <t>Paarden&amp;pony's 200 - 600 kg</t>
  </si>
  <si>
    <t>Paarden&amp;pony's &lt; 200 kg</t>
  </si>
  <si>
    <t>referentietaak LNE (2017); Jaarverslag De Lijn (2014)</t>
  </si>
  <si>
    <t>op basis van VEA (maart 2018) en Inventaris Hernieuwbare Energiebronnen (juni 2018)</t>
  </si>
  <si>
    <t>VEA (maart 2016)</t>
  </si>
  <si>
    <t>VEA (juni 2018)</t>
  </si>
  <si>
    <t>Brouwerijen Alken-Maes nv</t>
  </si>
  <si>
    <t>Blarenberglaan 10 , 2800 Mechelen</t>
  </si>
  <si>
    <t xml:space="preserve">WKK-0258 Brouwerijen Alken-Maes </t>
  </si>
  <si>
    <t>interne verbrandingsmotor</t>
  </si>
  <si>
    <t>WKK interne verbrandinsgmotor (gas)</t>
  </si>
  <si>
    <t>Meerdegatstraat 151 , 3570 Alken</t>
  </si>
  <si>
    <t>Inter-Energa</t>
  </si>
  <si>
    <t>LIN.799 bvba</t>
  </si>
  <si>
    <t>Stationsstraat 76 , 3570 Alken</t>
  </si>
  <si>
    <t>WKK-0462 LIN 799</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</si>
</sst>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105538.76709954237</c:v>
                </c:pt>
                <c:pt idx="1">
                  <c:v>18136.214208655409</c:v>
                </c:pt>
                <c:pt idx="2">
                  <c:v>597.93600000000004</c:v>
                </c:pt>
                <c:pt idx="3">
                  <c:v>9663.8150422081526</c:v>
                </c:pt>
                <c:pt idx="4">
                  <c:v>145194.43321248691</c:v>
                </c:pt>
                <c:pt idx="5">
                  <c:v>69469.390175542634</c:v>
                </c:pt>
                <c:pt idx="6">
                  <c:v>795.06463520433795</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295936"/>
        <c:axId val="176297472"/>
      </c:barChart>
      <c:catAx>
        <c:axId val="176295936"/>
        <c:scaling>
          <c:orientation val="minMax"/>
        </c:scaling>
        <c:axPos val="b"/>
        <c:numFmt formatCode="General" sourceLinked="0"/>
        <c:tickLblPos val="nextTo"/>
        <c:crossAx val="176297472"/>
        <c:crosses val="autoZero"/>
        <c:auto val="1"/>
        <c:lblAlgn val="ctr"/>
        <c:lblOffset val="100"/>
      </c:catAx>
      <c:valAx>
        <c:axId val="176297472"/>
        <c:scaling>
          <c:orientation val="minMax"/>
        </c:scaling>
        <c:axPos val="l"/>
        <c:majorGridlines/>
        <c:numFmt formatCode="#,##0" sourceLinked="1"/>
        <c:tickLblPos val="nextTo"/>
        <c:crossAx val="17629593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105538.76709954237</c:v>
                </c:pt>
                <c:pt idx="1">
                  <c:v>18136.214208655409</c:v>
                </c:pt>
                <c:pt idx="2">
                  <c:v>597.93600000000004</c:v>
                </c:pt>
                <c:pt idx="3">
                  <c:v>9663.8150422081526</c:v>
                </c:pt>
                <c:pt idx="4">
                  <c:v>145194.43321248691</c:v>
                </c:pt>
                <c:pt idx="5">
                  <c:v>69469.390175542634</c:v>
                </c:pt>
                <c:pt idx="6">
                  <c:v>795.06463520433795</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23149.033669240835</c:v>
                </c:pt>
                <c:pt idx="1">
                  <c:v>3521.0588506266699</c:v>
                </c:pt>
                <c:pt idx="2">
                  <c:v>117.81141403270813</c:v>
                </c:pt>
                <c:pt idx="3">
                  <c:v>2423.4023527815561</c:v>
                </c:pt>
                <c:pt idx="4">
                  <c:v>29499.911391254856</c:v>
                </c:pt>
                <c:pt idx="5">
                  <c:v>17401.954452162918</c:v>
                </c:pt>
                <c:pt idx="6">
                  <c:v>200.82953468612786</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6749184"/>
        <c:axId val="176771456"/>
      </c:barChart>
      <c:catAx>
        <c:axId val="176749184"/>
        <c:scaling>
          <c:orientation val="minMax"/>
        </c:scaling>
        <c:axPos val="b"/>
        <c:numFmt formatCode="General" sourceLinked="0"/>
        <c:tickLblPos val="nextTo"/>
        <c:crossAx val="176771456"/>
        <c:crosses val="autoZero"/>
        <c:auto val="1"/>
        <c:lblAlgn val="ctr"/>
        <c:lblOffset val="100"/>
      </c:catAx>
      <c:valAx>
        <c:axId val="176771456"/>
        <c:scaling>
          <c:orientation val="minMax"/>
        </c:scaling>
        <c:axPos val="l"/>
        <c:majorGridlines/>
        <c:numFmt formatCode="#,##0" sourceLinked="1"/>
        <c:tickLblPos val="nextTo"/>
        <c:crossAx val="17674918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23149.033669240835</c:v>
                </c:pt>
                <c:pt idx="1">
                  <c:v>3521.0588506266699</c:v>
                </c:pt>
                <c:pt idx="2">
                  <c:v>117.81141403270813</c:v>
                </c:pt>
                <c:pt idx="3">
                  <c:v>2423.4023527815561</c:v>
                </c:pt>
                <c:pt idx="4">
                  <c:v>29499.911391254856</c:v>
                </c:pt>
                <c:pt idx="5">
                  <c:v>17401.954452162918</c:v>
                </c:pt>
                <c:pt idx="6">
                  <c:v>200.82953468612786</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73001</v>
      </c>
      <c r="B6" s="416"/>
      <c r="C6" s="417"/>
    </row>
    <row r="7" spans="1:7" s="414" customFormat="1" ht="15.75" customHeight="1">
      <c r="A7" s="418" t="str">
        <f>txtMunicipality</f>
        <v>ALKEN</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10050.123416</v>
      </c>
      <c r="D10" s="719">
        <f ca="1">tertiair!C16</f>
        <v>56.571428571428577</v>
      </c>
      <c r="E10" s="719">
        <f ca="1">tertiair!D16</f>
        <v>6279.0253648571434</v>
      </c>
      <c r="F10" s="719">
        <f>tertiair!E16</f>
        <v>97.457033638934675</v>
      </c>
      <c r="G10" s="719">
        <f ca="1">tertiair!F16</f>
        <v>1377.3409284178033</v>
      </c>
      <c r="H10" s="719">
        <f>tertiair!G16</f>
        <v>0</v>
      </c>
      <c r="I10" s="719">
        <f>tertiair!H16</f>
        <v>0</v>
      </c>
      <c r="J10" s="719">
        <f>tertiair!I16</f>
        <v>0</v>
      </c>
      <c r="K10" s="719">
        <f>tertiair!J16</f>
        <v>0</v>
      </c>
      <c r="L10" s="719">
        <f>tertiair!K16</f>
        <v>0</v>
      </c>
      <c r="M10" s="719">
        <f ca="1">tertiair!L16</f>
        <v>0</v>
      </c>
      <c r="N10" s="719">
        <f>tertiair!M16</f>
        <v>0</v>
      </c>
      <c r="O10" s="719">
        <f ca="1">tertiair!N16</f>
        <v>832.37203717009356</v>
      </c>
      <c r="P10" s="719">
        <f>tertiair!O16</f>
        <v>3.1266666666666669</v>
      </c>
      <c r="Q10" s="720">
        <f>tertiair!P16</f>
        <v>38.133333333333333</v>
      </c>
      <c r="R10" s="722">
        <f ca="1">SUM(C10:Q10)</f>
        <v>18734.150208655406</v>
      </c>
      <c r="S10" s="67"/>
    </row>
    <row r="11" spans="1:19" s="475" customFormat="1">
      <c r="A11" s="871" t="s">
        <v>225</v>
      </c>
      <c r="B11" s="876"/>
      <c r="C11" s="719">
        <f>huishoudens!B8</f>
        <v>20924.744524245136</v>
      </c>
      <c r="D11" s="719">
        <f>huishoudens!C8</f>
        <v>0</v>
      </c>
      <c r="E11" s="719">
        <f>huishoudens!D8</f>
        <v>26225.383008000001</v>
      </c>
      <c r="F11" s="719">
        <f>huishoudens!E8</f>
        <v>951.93398647539618</v>
      </c>
      <c r="G11" s="719">
        <f>huishoudens!F8</f>
        <v>50609.033465024346</v>
      </c>
      <c r="H11" s="719">
        <f>huishoudens!G8</f>
        <v>0</v>
      </c>
      <c r="I11" s="719">
        <f>huishoudens!H8</f>
        <v>0</v>
      </c>
      <c r="J11" s="719">
        <f>huishoudens!I8</f>
        <v>0</v>
      </c>
      <c r="K11" s="719">
        <f>huishoudens!J8</f>
        <v>0</v>
      </c>
      <c r="L11" s="719">
        <f>huishoudens!K8</f>
        <v>0</v>
      </c>
      <c r="M11" s="719">
        <f>huishoudens!L8</f>
        <v>0</v>
      </c>
      <c r="N11" s="719">
        <f>huishoudens!M8</f>
        <v>0</v>
      </c>
      <c r="O11" s="719">
        <f>huishoudens!N8</f>
        <v>5807.3621157974876</v>
      </c>
      <c r="P11" s="719">
        <f>huishoudens!O8</f>
        <v>276.70999999999998</v>
      </c>
      <c r="Q11" s="720">
        <f>huishoudens!P8</f>
        <v>743.6</v>
      </c>
      <c r="R11" s="722">
        <f>SUM(C11:Q11)</f>
        <v>105538.76709954237</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39711.775000000001</v>
      </c>
      <c r="D13" s="719">
        <f>industrie!C18</f>
        <v>1607.1428571428571</v>
      </c>
      <c r="E13" s="719">
        <f>industrie!D18</f>
        <v>42565.890531999998</v>
      </c>
      <c r="F13" s="719">
        <f>industrie!E18</f>
        <v>7533.4856339376938</v>
      </c>
      <c r="G13" s="719">
        <f>industrie!F18</f>
        <v>42174.370544828322</v>
      </c>
      <c r="H13" s="719">
        <f>industrie!G18</f>
        <v>0</v>
      </c>
      <c r="I13" s="719">
        <f>industrie!H18</f>
        <v>0</v>
      </c>
      <c r="J13" s="719">
        <f>industrie!I18</f>
        <v>0</v>
      </c>
      <c r="K13" s="719">
        <f>industrie!J18</f>
        <v>264.23680948158244</v>
      </c>
      <c r="L13" s="719">
        <f>industrie!K18</f>
        <v>0</v>
      </c>
      <c r="M13" s="719">
        <f>industrie!L18</f>
        <v>0</v>
      </c>
      <c r="N13" s="719">
        <f>industrie!M18</f>
        <v>0</v>
      </c>
      <c r="O13" s="719">
        <f>industrie!N18</f>
        <v>11337.531835096455</v>
      </c>
      <c r="P13" s="719">
        <f>industrie!O18</f>
        <v>0</v>
      </c>
      <c r="Q13" s="720">
        <f>industrie!P18</f>
        <v>0</v>
      </c>
      <c r="R13" s="722">
        <f>SUM(C13:Q13)</f>
        <v>145194.43321248691</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70686.642940245132</v>
      </c>
      <c r="D15" s="724">
        <f t="shared" ref="D15:Q15" ca="1" si="0">SUM(D9:D14)</f>
        <v>1663.7142857142858</v>
      </c>
      <c r="E15" s="724">
        <f t="shared" ca="1" si="0"/>
        <v>75070.298904857133</v>
      </c>
      <c r="F15" s="724">
        <f t="shared" si="0"/>
        <v>8582.8766540520246</v>
      </c>
      <c r="G15" s="724">
        <f t="shared" ca="1" si="0"/>
        <v>94160.74493827048</v>
      </c>
      <c r="H15" s="724">
        <f t="shared" si="0"/>
        <v>0</v>
      </c>
      <c r="I15" s="724">
        <f t="shared" si="0"/>
        <v>0</v>
      </c>
      <c r="J15" s="724">
        <f t="shared" si="0"/>
        <v>0</v>
      </c>
      <c r="K15" s="724">
        <f t="shared" si="0"/>
        <v>264.23680948158244</v>
      </c>
      <c r="L15" s="724">
        <f t="shared" si="0"/>
        <v>0</v>
      </c>
      <c r="M15" s="724">
        <f t="shared" ca="1" si="0"/>
        <v>0</v>
      </c>
      <c r="N15" s="724">
        <f t="shared" si="0"/>
        <v>0</v>
      </c>
      <c r="O15" s="724">
        <f t="shared" ca="1" si="0"/>
        <v>17977.265988064035</v>
      </c>
      <c r="P15" s="724">
        <f t="shared" si="0"/>
        <v>279.83666666666664</v>
      </c>
      <c r="Q15" s="725">
        <f t="shared" si="0"/>
        <v>781.73333333333335</v>
      </c>
      <c r="R15" s="726">
        <f ca="1">SUM(R9:R14)</f>
        <v>269467.35052068467</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752.17054189560986</v>
      </c>
      <c r="I18" s="719">
        <f>transport!H54</f>
        <v>0</v>
      </c>
      <c r="J18" s="719">
        <f>transport!I54</f>
        <v>0</v>
      </c>
      <c r="K18" s="719">
        <f>transport!J54</f>
        <v>0</v>
      </c>
      <c r="L18" s="719">
        <f>transport!K54</f>
        <v>0</v>
      </c>
      <c r="M18" s="719">
        <f>transport!L54</f>
        <v>0</v>
      </c>
      <c r="N18" s="719">
        <f>transport!M54</f>
        <v>42.894093308728138</v>
      </c>
      <c r="O18" s="719">
        <f>transport!N54</f>
        <v>0</v>
      </c>
      <c r="P18" s="719">
        <f>transport!O54</f>
        <v>0</v>
      </c>
      <c r="Q18" s="720">
        <f>transport!P54</f>
        <v>0</v>
      </c>
      <c r="R18" s="722">
        <f>SUM(C18:Q18)</f>
        <v>795.06463520433795</v>
      </c>
      <c r="S18" s="67"/>
    </row>
    <row r="19" spans="1:19" s="475" customFormat="1" ht="15" thickBot="1">
      <c r="A19" s="871" t="s">
        <v>307</v>
      </c>
      <c r="B19" s="876"/>
      <c r="C19" s="728">
        <f>transport!B14</f>
        <v>11.336691053095898</v>
      </c>
      <c r="D19" s="728">
        <f>transport!C14</f>
        <v>0</v>
      </c>
      <c r="E19" s="728">
        <f>transport!D14</f>
        <v>29.638803504895844</v>
      </c>
      <c r="F19" s="728">
        <f>transport!E14</f>
        <v>189.04417169122058</v>
      </c>
      <c r="G19" s="728">
        <f>transport!F14</f>
        <v>0</v>
      </c>
      <c r="H19" s="728">
        <f>transport!G14</f>
        <v>54532.411706475359</v>
      </c>
      <c r="I19" s="728">
        <f>transport!H14</f>
        <v>11207.497154305993</v>
      </c>
      <c r="J19" s="728">
        <f>transport!I14</f>
        <v>0</v>
      </c>
      <c r="K19" s="728">
        <f>transport!J14</f>
        <v>0</v>
      </c>
      <c r="L19" s="728">
        <f>transport!K14</f>
        <v>0</v>
      </c>
      <c r="M19" s="728">
        <f>transport!L14</f>
        <v>0</v>
      </c>
      <c r="N19" s="728">
        <f>transport!M14</f>
        <v>3499.4616485120846</v>
      </c>
      <c r="O19" s="728">
        <f>transport!N14</f>
        <v>0</v>
      </c>
      <c r="P19" s="728">
        <f>transport!O14</f>
        <v>0</v>
      </c>
      <c r="Q19" s="729">
        <f>transport!P14</f>
        <v>0</v>
      </c>
      <c r="R19" s="730">
        <f>SUM(C19:Q19)</f>
        <v>69469.390175542634</v>
      </c>
      <c r="S19" s="67"/>
    </row>
    <row r="20" spans="1:19" s="475" customFormat="1" ht="15.75" thickBot="1">
      <c r="A20" s="731" t="s">
        <v>230</v>
      </c>
      <c r="B20" s="879"/>
      <c r="C20" s="874">
        <f>SUM(C17:C19)</f>
        <v>11.336691053095898</v>
      </c>
      <c r="D20" s="732">
        <f t="shared" ref="D20:R20" si="1">SUM(D17:D19)</f>
        <v>0</v>
      </c>
      <c r="E20" s="732">
        <f t="shared" si="1"/>
        <v>29.638803504895844</v>
      </c>
      <c r="F20" s="732">
        <f t="shared" si="1"/>
        <v>189.04417169122058</v>
      </c>
      <c r="G20" s="732">
        <f t="shared" si="1"/>
        <v>0</v>
      </c>
      <c r="H20" s="732">
        <f t="shared" si="1"/>
        <v>55284.582248370971</v>
      </c>
      <c r="I20" s="732">
        <f t="shared" si="1"/>
        <v>11207.497154305993</v>
      </c>
      <c r="J20" s="732">
        <f t="shared" si="1"/>
        <v>0</v>
      </c>
      <c r="K20" s="732">
        <f t="shared" si="1"/>
        <v>0</v>
      </c>
      <c r="L20" s="732">
        <f t="shared" si="1"/>
        <v>0</v>
      </c>
      <c r="M20" s="732">
        <f t="shared" si="1"/>
        <v>0</v>
      </c>
      <c r="N20" s="732">
        <f t="shared" si="1"/>
        <v>3542.3557418208129</v>
      </c>
      <c r="O20" s="732">
        <f t="shared" si="1"/>
        <v>0</v>
      </c>
      <c r="P20" s="732">
        <f t="shared" si="1"/>
        <v>0</v>
      </c>
      <c r="Q20" s="733">
        <f t="shared" si="1"/>
        <v>0</v>
      </c>
      <c r="R20" s="734">
        <f t="shared" si="1"/>
        <v>70264.454810746975</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2568.7028643216081</v>
      </c>
      <c r="D22" s="728">
        <f>+landbouw!C8</f>
        <v>0</v>
      </c>
      <c r="E22" s="728">
        <f>+landbouw!D8</f>
        <v>160.22045599999998</v>
      </c>
      <c r="F22" s="728">
        <f>+landbouw!E8</f>
        <v>23.792401801002505</v>
      </c>
      <c r="G22" s="728">
        <f>+landbouw!F8</f>
        <v>6517.2885041774061</v>
      </c>
      <c r="H22" s="728">
        <f>+landbouw!G8</f>
        <v>0</v>
      </c>
      <c r="I22" s="728">
        <f>+landbouw!H8</f>
        <v>0</v>
      </c>
      <c r="J22" s="728">
        <f>+landbouw!I8</f>
        <v>0</v>
      </c>
      <c r="K22" s="728">
        <f>+landbouw!J8</f>
        <v>393.81081590813517</v>
      </c>
      <c r="L22" s="728">
        <f>+landbouw!K8</f>
        <v>0</v>
      </c>
      <c r="M22" s="728">
        <f>+landbouw!L8</f>
        <v>0</v>
      </c>
      <c r="N22" s="728">
        <f>+landbouw!M8</f>
        <v>0</v>
      </c>
      <c r="O22" s="728">
        <f>+landbouw!N8</f>
        <v>0</v>
      </c>
      <c r="P22" s="728">
        <f>+landbouw!O8</f>
        <v>0</v>
      </c>
      <c r="Q22" s="729">
        <f>+landbouw!P8</f>
        <v>0</v>
      </c>
      <c r="R22" s="730">
        <f>SUM(C22:Q22)</f>
        <v>9663.8150422081526</v>
      </c>
      <c r="S22" s="67"/>
    </row>
    <row r="23" spans="1:19" s="475" customFormat="1" ht="17.25" thickTop="1" thickBot="1">
      <c r="A23" s="735" t="s">
        <v>116</v>
      </c>
      <c r="B23" s="865"/>
      <c r="C23" s="736">
        <f ca="1">C20+C15+C22</f>
        <v>73266.682495619825</v>
      </c>
      <c r="D23" s="736">
        <f t="shared" ref="D23:Q23" ca="1" si="2">D20+D15+D22</f>
        <v>1663.7142857142858</v>
      </c>
      <c r="E23" s="736">
        <f t="shared" ca="1" si="2"/>
        <v>75260.15816436203</v>
      </c>
      <c r="F23" s="736">
        <f t="shared" si="2"/>
        <v>8795.7132275442473</v>
      </c>
      <c r="G23" s="736">
        <f t="shared" ca="1" si="2"/>
        <v>100678.03344244789</v>
      </c>
      <c r="H23" s="736">
        <f t="shared" si="2"/>
        <v>55284.582248370971</v>
      </c>
      <c r="I23" s="736">
        <f t="shared" si="2"/>
        <v>11207.497154305993</v>
      </c>
      <c r="J23" s="736">
        <f t="shared" si="2"/>
        <v>0</v>
      </c>
      <c r="K23" s="736">
        <f t="shared" si="2"/>
        <v>658.04762538971761</v>
      </c>
      <c r="L23" s="736">
        <f t="shared" si="2"/>
        <v>0</v>
      </c>
      <c r="M23" s="736">
        <f t="shared" ca="1" si="2"/>
        <v>0</v>
      </c>
      <c r="N23" s="736">
        <f t="shared" si="2"/>
        <v>3542.3557418208129</v>
      </c>
      <c r="O23" s="736">
        <f t="shared" ca="1" si="2"/>
        <v>17977.265988064035</v>
      </c>
      <c r="P23" s="736">
        <f t="shared" si="2"/>
        <v>279.83666666666664</v>
      </c>
      <c r="Q23" s="737">
        <f t="shared" si="2"/>
        <v>781.73333333333335</v>
      </c>
      <c r="R23" s="738">
        <f ca="1">R20+R15+R22</f>
        <v>349395.62037363986</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1980.1772277337222</v>
      </c>
      <c r="D36" s="719">
        <f ca="1">tertiair!C20</f>
        <v>0.45713870092086301</v>
      </c>
      <c r="E36" s="719">
        <f ca="1">tertiair!D20</f>
        <v>1268.363123701143</v>
      </c>
      <c r="F36" s="719">
        <f>tertiair!E20</f>
        <v>22.122746636038173</v>
      </c>
      <c r="G36" s="719">
        <f ca="1">tertiair!F20</f>
        <v>367.75002788755353</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3638.8702646593783</v>
      </c>
    </row>
    <row r="37" spans="1:18">
      <c r="A37" s="886" t="s">
        <v>225</v>
      </c>
      <c r="B37" s="893"/>
      <c r="C37" s="719">
        <f ca="1">huishoudens!B12</f>
        <v>4122.8053515334177</v>
      </c>
      <c r="D37" s="719">
        <f ca="1">huishoudens!C12</f>
        <v>0</v>
      </c>
      <c r="E37" s="719">
        <f>huishoudens!D12</f>
        <v>5297.5273676160004</v>
      </c>
      <c r="F37" s="719">
        <f>huishoudens!E12</f>
        <v>216.08901492991495</v>
      </c>
      <c r="G37" s="719">
        <f>huishoudens!F12</f>
        <v>13512.611935161502</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23149.033669240835</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7824.41660394883</v>
      </c>
      <c r="D39" s="719">
        <f ca="1">industrie!C22</f>
        <v>12.986894912524516</v>
      </c>
      <c r="E39" s="719">
        <f>industrie!D22</f>
        <v>8598.309887464</v>
      </c>
      <c r="F39" s="719">
        <f>industrie!E22</f>
        <v>1710.1012389038565</v>
      </c>
      <c r="G39" s="719">
        <f>industrie!F22</f>
        <v>11260.556935469163</v>
      </c>
      <c r="H39" s="719">
        <f>industrie!G22</f>
        <v>0</v>
      </c>
      <c r="I39" s="719">
        <f>industrie!H22</f>
        <v>0</v>
      </c>
      <c r="J39" s="719">
        <f>industrie!I22</f>
        <v>0</v>
      </c>
      <c r="K39" s="719">
        <f>industrie!J22</f>
        <v>93.539830556480183</v>
      </c>
      <c r="L39" s="719">
        <f>industrie!K22</f>
        <v>0</v>
      </c>
      <c r="M39" s="719">
        <f>industrie!L22</f>
        <v>0</v>
      </c>
      <c r="N39" s="719">
        <f>industrie!M22</f>
        <v>0</v>
      </c>
      <c r="O39" s="719">
        <f>industrie!N22</f>
        <v>0</v>
      </c>
      <c r="P39" s="719">
        <f>industrie!O22</f>
        <v>0</v>
      </c>
      <c r="Q39" s="829">
        <f>industrie!P22</f>
        <v>0</v>
      </c>
      <c r="R39" s="919">
        <f ca="1">SUM(C39:Q39)</f>
        <v>29499.911391254856</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13927.39918321597</v>
      </c>
      <c r="D41" s="764">
        <f t="shared" ref="D41:R41" ca="1" si="4">SUM(D35:D40)</f>
        <v>13.444033613445379</v>
      </c>
      <c r="E41" s="764">
        <f t="shared" ca="1" si="4"/>
        <v>15164.200378781145</v>
      </c>
      <c r="F41" s="764">
        <f t="shared" si="4"/>
        <v>1948.3130004698096</v>
      </c>
      <c r="G41" s="764">
        <f t="shared" ca="1" si="4"/>
        <v>25140.918898518219</v>
      </c>
      <c r="H41" s="764">
        <f t="shared" si="4"/>
        <v>0</v>
      </c>
      <c r="I41" s="764">
        <f t="shared" si="4"/>
        <v>0</v>
      </c>
      <c r="J41" s="764">
        <f t="shared" si="4"/>
        <v>0</v>
      </c>
      <c r="K41" s="764">
        <f t="shared" si="4"/>
        <v>93.539830556480183</v>
      </c>
      <c r="L41" s="764">
        <f t="shared" si="4"/>
        <v>0</v>
      </c>
      <c r="M41" s="764">
        <f t="shared" ca="1" si="4"/>
        <v>0</v>
      </c>
      <c r="N41" s="764">
        <f t="shared" si="4"/>
        <v>0</v>
      </c>
      <c r="O41" s="764">
        <f t="shared" ca="1" si="4"/>
        <v>0</v>
      </c>
      <c r="P41" s="764">
        <f t="shared" si="4"/>
        <v>0</v>
      </c>
      <c r="Q41" s="765">
        <f t="shared" si="4"/>
        <v>0</v>
      </c>
      <c r="R41" s="766">
        <f t="shared" ca="1" si="4"/>
        <v>56287.815325155068</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200.82953468612786</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200.82953468612786</v>
      </c>
    </row>
    <row r="45" spans="1:18" ht="15" thickBot="1">
      <c r="A45" s="889" t="s">
        <v>307</v>
      </c>
      <c r="B45" s="899"/>
      <c r="C45" s="728">
        <f ca="1">transport!B18</f>
        <v>2.2336698299101889</v>
      </c>
      <c r="D45" s="728">
        <f>transport!C18</f>
        <v>0</v>
      </c>
      <c r="E45" s="728">
        <f>transport!D18</f>
        <v>5.9870383079889606</v>
      </c>
      <c r="F45" s="728">
        <f>transport!E18</f>
        <v>42.913026973907073</v>
      </c>
      <c r="G45" s="728">
        <f>transport!F18</f>
        <v>0</v>
      </c>
      <c r="H45" s="728">
        <f>transport!G18</f>
        <v>14560.153925628922</v>
      </c>
      <c r="I45" s="728">
        <f>transport!H18</f>
        <v>2790.6667914221921</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17401.954452162918</v>
      </c>
    </row>
    <row r="46" spans="1:18" ht="15.75" thickBot="1">
      <c r="A46" s="887" t="s">
        <v>230</v>
      </c>
      <c r="B46" s="900"/>
      <c r="C46" s="764">
        <f t="shared" ref="C46:R46" ca="1" si="5">SUM(C43:C45)</f>
        <v>2.2336698299101889</v>
      </c>
      <c r="D46" s="764">
        <f t="shared" ca="1" si="5"/>
        <v>0</v>
      </c>
      <c r="E46" s="764">
        <f t="shared" si="5"/>
        <v>5.9870383079889606</v>
      </c>
      <c r="F46" s="764">
        <f t="shared" si="5"/>
        <v>42.913026973907073</v>
      </c>
      <c r="G46" s="764">
        <f t="shared" si="5"/>
        <v>0</v>
      </c>
      <c r="H46" s="764">
        <f t="shared" si="5"/>
        <v>14760.98346031505</v>
      </c>
      <c r="I46" s="764">
        <f t="shared" si="5"/>
        <v>2790.6667914221921</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17602.783986849045</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506.11188601388147</v>
      </c>
      <c r="D48" s="719">
        <f ca="1">+landbouw!C12</f>
        <v>0</v>
      </c>
      <c r="E48" s="719">
        <f>+landbouw!D12</f>
        <v>32.364532111999999</v>
      </c>
      <c r="F48" s="719">
        <f>+landbouw!E12</f>
        <v>5.4008752088275687</v>
      </c>
      <c r="G48" s="719">
        <f>+landbouw!F12</f>
        <v>1740.1160306153674</v>
      </c>
      <c r="H48" s="719">
        <f>+landbouw!G12</f>
        <v>0</v>
      </c>
      <c r="I48" s="719">
        <f>+landbouw!H12</f>
        <v>0</v>
      </c>
      <c r="J48" s="719">
        <f>+landbouw!I12</f>
        <v>0</v>
      </c>
      <c r="K48" s="719">
        <f>+landbouw!J12</f>
        <v>139.40902883147984</v>
      </c>
      <c r="L48" s="719">
        <f>+landbouw!K12</f>
        <v>0</v>
      </c>
      <c r="M48" s="719">
        <f>+landbouw!L12</f>
        <v>0</v>
      </c>
      <c r="N48" s="719">
        <f>+landbouw!M12</f>
        <v>0</v>
      </c>
      <c r="O48" s="719">
        <f>+landbouw!N12</f>
        <v>0</v>
      </c>
      <c r="P48" s="719">
        <f>+landbouw!O12</f>
        <v>0</v>
      </c>
      <c r="Q48" s="720">
        <f>+landbouw!P12</f>
        <v>0</v>
      </c>
      <c r="R48" s="762">
        <f ca="1">SUM(C48:Q48)</f>
        <v>2423.4023527815561</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14435.744739059761</v>
      </c>
      <c r="D53" s="774">
        <f t="shared" ref="D53:Q53" ca="1" si="6">D41+D46+D48</f>
        <v>13.444033613445379</v>
      </c>
      <c r="E53" s="774">
        <f t="shared" ca="1" si="6"/>
        <v>15202.551949201134</v>
      </c>
      <c r="F53" s="774">
        <f t="shared" si="6"/>
        <v>1996.6269026525442</v>
      </c>
      <c r="G53" s="774">
        <f t="shared" ca="1" si="6"/>
        <v>26881.034929133588</v>
      </c>
      <c r="H53" s="774">
        <f t="shared" si="6"/>
        <v>14760.98346031505</v>
      </c>
      <c r="I53" s="774">
        <f t="shared" si="6"/>
        <v>2790.6667914221921</v>
      </c>
      <c r="J53" s="774">
        <f t="shared" si="6"/>
        <v>0</v>
      </c>
      <c r="K53" s="774">
        <f t="shared" si="6"/>
        <v>232.94885938796003</v>
      </c>
      <c r="L53" s="774">
        <f t="shared" si="6"/>
        <v>0</v>
      </c>
      <c r="M53" s="774">
        <f t="shared" ca="1" si="6"/>
        <v>0</v>
      </c>
      <c r="N53" s="774">
        <f t="shared" si="6"/>
        <v>0</v>
      </c>
      <c r="O53" s="774">
        <f t="shared" ca="1" si="6"/>
        <v>0</v>
      </c>
      <c r="P53" s="774">
        <f>P41+P46+P48</f>
        <v>0</v>
      </c>
      <c r="Q53" s="775">
        <f t="shared" si="6"/>
        <v>0</v>
      </c>
      <c r="R53" s="776">
        <f ca="1">R41+R46+R48</f>
        <v>76314.001664785668</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0.19703014040417058</v>
      </c>
      <c r="D55" s="837">
        <f t="shared" ca="1" si="7"/>
        <v>8.0807346122374769E-3</v>
      </c>
      <c r="E55" s="837">
        <f t="shared" ca="1" si="7"/>
        <v>0.20200000000000004</v>
      </c>
      <c r="F55" s="837">
        <f t="shared" si="7"/>
        <v>0.22700000000000001</v>
      </c>
      <c r="G55" s="837">
        <f t="shared" ca="1" si="7"/>
        <v>0.26700000000000002</v>
      </c>
      <c r="H55" s="837">
        <f t="shared" si="7"/>
        <v>0.26700000000000002</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6824.5534660707399</v>
      </c>
      <c r="C66" s="796">
        <f>'lokale energieproductie'!B6</f>
        <v>6824.5534660707399</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1164.5999999999999</v>
      </c>
      <c r="C67" s="795">
        <f>B67*IFERROR(SUM(J67:L67)/SUM(D67:M67),0)</f>
        <v>1125</v>
      </c>
      <c r="D67" s="827">
        <f>'lokale energieproductie'!C7</f>
        <v>46.588235294117652</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1323.5294117647061</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9.4108235294117666</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7989.1534660707403</v>
      </c>
      <c r="C69" s="804">
        <f>SUM(C64:C68)</f>
        <v>7949.5534660707399</v>
      </c>
      <c r="D69" s="805">
        <f t="shared" ref="D69:M69" si="8">SUM(D67:D68)</f>
        <v>46.588235294117652</v>
      </c>
      <c r="E69" s="805">
        <f t="shared" si="8"/>
        <v>0</v>
      </c>
      <c r="F69" s="805">
        <f t="shared" si="8"/>
        <v>0</v>
      </c>
      <c r="G69" s="805">
        <f t="shared" si="8"/>
        <v>0</v>
      </c>
      <c r="H69" s="805">
        <f t="shared" si="8"/>
        <v>0</v>
      </c>
      <c r="I69" s="805">
        <f t="shared" si="8"/>
        <v>0</v>
      </c>
      <c r="J69" s="805">
        <f t="shared" si="8"/>
        <v>0</v>
      </c>
      <c r="K69" s="805">
        <f t="shared" si="8"/>
        <v>1323.5294117647061</v>
      </c>
      <c r="L69" s="805">
        <f t="shared" si="8"/>
        <v>0</v>
      </c>
      <c r="M69" s="931">
        <f t="shared" si="8"/>
        <v>0</v>
      </c>
      <c r="N69" s="806">
        <v>0</v>
      </c>
      <c r="O69" s="806">
        <f>SUM(O67:O68)</f>
        <v>9.4108235294117666</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1663.7142857142858</v>
      </c>
      <c r="C78" s="818">
        <f>B78*IFERROR(SUM(I78:L78)/SUM(D78:M78),0)</f>
        <v>1607.1428571428571</v>
      </c>
      <c r="D78" s="833">
        <f>'lokale energieproductie'!C16</f>
        <v>66.554621848739501</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1890.7563025210086</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13.444033613445381</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1663.7142857142858</v>
      </c>
      <c r="C81" s="804">
        <f>SUM(C78:C80)</f>
        <v>1607.1428571428571</v>
      </c>
      <c r="D81" s="804">
        <f t="shared" ref="D81:P81" si="9">SUM(D78:D80)</f>
        <v>66.554621848739501</v>
      </c>
      <c r="E81" s="804">
        <f t="shared" si="9"/>
        <v>0</v>
      </c>
      <c r="F81" s="804">
        <f t="shared" si="9"/>
        <v>0</v>
      </c>
      <c r="G81" s="804">
        <f t="shared" si="9"/>
        <v>0</v>
      </c>
      <c r="H81" s="804">
        <f t="shared" si="9"/>
        <v>0</v>
      </c>
      <c r="I81" s="804">
        <f t="shared" si="9"/>
        <v>0</v>
      </c>
      <c r="J81" s="804">
        <f t="shared" si="9"/>
        <v>0</v>
      </c>
      <c r="K81" s="804">
        <f t="shared" si="9"/>
        <v>1890.7563025210086</v>
      </c>
      <c r="L81" s="804">
        <f t="shared" si="9"/>
        <v>0</v>
      </c>
      <c r="M81" s="804">
        <f t="shared" si="9"/>
        <v>0</v>
      </c>
      <c r="N81" s="804">
        <v>0</v>
      </c>
      <c r="O81" s="804">
        <f>SUM(O78:O80)</f>
        <v>13.444033613445381</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20924.744524245136</v>
      </c>
      <c r="C4" s="479">
        <f>huishoudens!C8</f>
        <v>0</v>
      </c>
      <c r="D4" s="479">
        <f>huishoudens!D8</f>
        <v>26225.383008000001</v>
      </c>
      <c r="E4" s="479">
        <f>huishoudens!E8</f>
        <v>951.93398647539618</v>
      </c>
      <c r="F4" s="479">
        <f>huishoudens!F8</f>
        <v>50609.033465024346</v>
      </c>
      <c r="G4" s="479">
        <f>huishoudens!G8</f>
        <v>0</v>
      </c>
      <c r="H4" s="479">
        <f>huishoudens!H8</f>
        <v>0</v>
      </c>
      <c r="I4" s="479">
        <f>huishoudens!I8</f>
        <v>0</v>
      </c>
      <c r="J4" s="479">
        <f>huishoudens!J8</f>
        <v>0</v>
      </c>
      <c r="K4" s="479">
        <f>huishoudens!K8</f>
        <v>0</v>
      </c>
      <c r="L4" s="479">
        <f>huishoudens!L8</f>
        <v>0</v>
      </c>
      <c r="M4" s="479">
        <f>huishoudens!M8</f>
        <v>0</v>
      </c>
      <c r="N4" s="479">
        <f>huishoudens!N8</f>
        <v>5807.3621157974876</v>
      </c>
      <c r="O4" s="479">
        <f>huishoudens!O8</f>
        <v>276.70999999999998</v>
      </c>
      <c r="P4" s="480">
        <f>huishoudens!P8</f>
        <v>743.6</v>
      </c>
      <c r="Q4" s="481">
        <f>SUM(B4:P4)</f>
        <v>105538.76709954237</v>
      </c>
    </row>
    <row r="5" spans="1:17">
      <c r="A5" s="478" t="s">
        <v>156</v>
      </c>
      <c r="B5" s="479">
        <f ca="1">tertiair!B16</f>
        <v>9452.1874160000007</v>
      </c>
      <c r="C5" s="479">
        <f ca="1">tertiair!C16</f>
        <v>56.571428571428577</v>
      </c>
      <c r="D5" s="479">
        <f ca="1">tertiair!D16</f>
        <v>6279.0253648571434</v>
      </c>
      <c r="E5" s="479">
        <f>tertiair!E16</f>
        <v>97.457033638934675</v>
      </c>
      <c r="F5" s="479">
        <f ca="1">tertiair!F16</f>
        <v>1377.3409284178033</v>
      </c>
      <c r="G5" s="479">
        <f>tertiair!G16</f>
        <v>0</v>
      </c>
      <c r="H5" s="479">
        <f>tertiair!H16</f>
        <v>0</v>
      </c>
      <c r="I5" s="479">
        <f>tertiair!I16</f>
        <v>0</v>
      </c>
      <c r="J5" s="479">
        <f>tertiair!J16</f>
        <v>0</v>
      </c>
      <c r="K5" s="479">
        <f>tertiair!K16</f>
        <v>0</v>
      </c>
      <c r="L5" s="479">
        <f ca="1">tertiair!L16</f>
        <v>0</v>
      </c>
      <c r="M5" s="479">
        <f>tertiair!M16</f>
        <v>0</v>
      </c>
      <c r="N5" s="479">
        <f ca="1">tertiair!N16</f>
        <v>832.37203717009356</v>
      </c>
      <c r="O5" s="479">
        <f>tertiair!O16</f>
        <v>3.1266666666666669</v>
      </c>
      <c r="P5" s="480">
        <f>tertiair!P16</f>
        <v>38.133333333333333</v>
      </c>
      <c r="Q5" s="478">
        <f t="shared" ref="Q5:Q13" ca="1" si="0">SUM(B5:P5)</f>
        <v>18136.214208655409</v>
      </c>
    </row>
    <row r="6" spans="1:17">
      <c r="A6" s="478" t="s">
        <v>194</v>
      </c>
      <c r="B6" s="479">
        <f>'openbare verlichting'!B8</f>
        <v>597.93600000000004</v>
      </c>
      <c r="C6" s="479"/>
      <c r="D6" s="479"/>
      <c r="E6" s="479"/>
      <c r="F6" s="479"/>
      <c r="G6" s="479"/>
      <c r="H6" s="479"/>
      <c r="I6" s="479"/>
      <c r="J6" s="479"/>
      <c r="K6" s="479"/>
      <c r="L6" s="479"/>
      <c r="M6" s="479"/>
      <c r="N6" s="479"/>
      <c r="O6" s="479"/>
      <c r="P6" s="480"/>
      <c r="Q6" s="478">
        <f t="shared" si="0"/>
        <v>597.93600000000004</v>
      </c>
    </row>
    <row r="7" spans="1:17">
      <c r="A7" s="478" t="s">
        <v>112</v>
      </c>
      <c r="B7" s="479">
        <f>landbouw!B8</f>
        <v>2568.7028643216081</v>
      </c>
      <c r="C7" s="479">
        <f>landbouw!C8</f>
        <v>0</v>
      </c>
      <c r="D7" s="479">
        <f>landbouw!D8</f>
        <v>160.22045599999998</v>
      </c>
      <c r="E7" s="479">
        <f>landbouw!E8</f>
        <v>23.792401801002505</v>
      </c>
      <c r="F7" s="479">
        <f>landbouw!F8</f>
        <v>6517.2885041774061</v>
      </c>
      <c r="G7" s="479">
        <f>landbouw!G8</f>
        <v>0</v>
      </c>
      <c r="H7" s="479">
        <f>landbouw!H8</f>
        <v>0</v>
      </c>
      <c r="I7" s="479">
        <f>landbouw!I8</f>
        <v>0</v>
      </c>
      <c r="J7" s="479">
        <f>landbouw!J8</f>
        <v>393.81081590813517</v>
      </c>
      <c r="K7" s="479">
        <f>landbouw!K8</f>
        <v>0</v>
      </c>
      <c r="L7" s="479">
        <f>landbouw!L8</f>
        <v>0</v>
      </c>
      <c r="M7" s="479">
        <f>landbouw!M8</f>
        <v>0</v>
      </c>
      <c r="N7" s="479">
        <f>landbouw!N8</f>
        <v>0</v>
      </c>
      <c r="O7" s="479">
        <f>landbouw!O8</f>
        <v>0</v>
      </c>
      <c r="P7" s="480">
        <f>landbouw!P8</f>
        <v>0</v>
      </c>
      <c r="Q7" s="478">
        <f t="shared" si="0"/>
        <v>9663.8150422081526</v>
      </c>
    </row>
    <row r="8" spans="1:17">
      <c r="A8" s="478" t="s">
        <v>650</v>
      </c>
      <c r="B8" s="479">
        <f>industrie!B18</f>
        <v>39711.775000000001</v>
      </c>
      <c r="C8" s="479">
        <f>industrie!C18</f>
        <v>1607.1428571428571</v>
      </c>
      <c r="D8" s="479">
        <f>industrie!D18</f>
        <v>42565.890531999998</v>
      </c>
      <c r="E8" s="479">
        <f>industrie!E18</f>
        <v>7533.4856339376938</v>
      </c>
      <c r="F8" s="479">
        <f>industrie!F18</f>
        <v>42174.370544828322</v>
      </c>
      <c r="G8" s="479">
        <f>industrie!G18</f>
        <v>0</v>
      </c>
      <c r="H8" s="479">
        <f>industrie!H18</f>
        <v>0</v>
      </c>
      <c r="I8" s="479">
        <f>industrie!I18</f>
        <v>0</v>
      </c>
      <c r="J8" s="479">
        <f>industrie!J18</f>
        <v>264.23680948158244</v>
      </c>
      <c r="K8" s="479">
        <f>industrie!K18</f>
        <v>0</v>
      </c>
      <c r="L8" s="479">
        <f>industrie!L18</f>
        <v>0</v>
      </c>
      <c r="M8" s="479">
        <f>industrie!M18</f>
        <v>0</v>
      </c>
      <c r="N8" s="479">
        <f>industrie!N18</f>
        <v>11337.531835096455</v>
      </c>
      <c r="O8" s="479">
        <f>industrie!O18</f>
        <v>0</v>
      </c>
      <c r="P8" s="480">
        <f>industrie!P18</f>
        <v>0</v>
      </c>
      <c r="Q8" s="478">
        <f t="shared" si="0"/>
        <v>145194.43321248691</v>
      </c>
    </row>
    <row r="9" spans="1:17" s="484" customFormat="1">
      <c r="A9" s="482" t="s">
        <v>571</v>
      </c>
      <c r="B9" s="483">
        <f>transport!B14</f>
        <v>11.336691053095898</v>
      </c>
      <c r="C9" s="483">
        <f>transport!C14</f>
        <v>0</v>
      </c>
      <c r="D9" s="483">
        <f>transport!D14</f>
        <v>29.638803504895844</v>
      </c>
      <c r="E9" s="483">
        <f>transport!E14</f>
        <v>189.04417169122058</v>
      </c>
      <c r="F9" s="483">
        <f>transport!F14</f>
        <v>0</v>
      </c>
      <c r="G9" s="483">
        <f>transport!G14</f>
        <v>54532.411706475359</v>
      </c>
      <c r="H9" s="483">
        <f>transport!H14</f>
        <v>11207.497154305993</v>
      </c>
      <c r="I9" s="483">
        <f>transport!I14</f>
        <v>0</v>
      </c>
      <c r="J9" s="483">
        <f>transport!J14</f>
        <v>0</v>
      </c>
      <c r="K9" s="483">
        <f>transport!K14</f>
        <v>0</v>
      </c>
      <c r="L9" s="483">
        <f>transport!L14</f>
        <v>0</v>
      </c>
      <c r="M9" s="483">
        <f>transport!M14</f>
        <v>3499.4616485120846</v>
      </c>
      <c r="N9" s="483">
        <f>transport!N14</f>
        <v>0</v>
      </c>
      <c r="O9" s="483">
        <f>transport!O14</f>
        <v>0</v>
      </c>
      <c r="P9" s="483">
        <f>transport!P14</f>
        <v>0</v>
      </c>
      <c r="Q9" s="482">
        <f>SUM(B9:P9)</f>
        <v>69469.390175542634</v>
      </c>
    </row>
    <row r="10" spans="1:17">
      <c r="A10" s="478" t="s">
        <v>561</v>
      </c>
      <c r="B10" s="479">
        <f>transport!B54</f>
        <v>0</v>
      </c>
      <c r="C10" s="479">
        <f>transport!C54</f>
        <v>0</v>
      </c>
      <c r="D10" s="479">
        <f>transport!D54</f>
        <v>0</v>
      </c>
      <c r="E10" s="479">
        <f>transport!E54</f>
        <v>0</v>
      </c>
      <c r="F10" s="479">
        <f>transport!F54</f>
        <v>0</v>
      </c>
      <c r="G10" s="479">
        <f>transport!G54</f>
        <v>752.17054189560986</v>
      </c>
      <c r="H10" s="479">
        <f>transport!H54</f>
        <v>0</v>
      </c>
      <c r="I10" s="479">
        <f>transport!I54</f>
        <v>0</v>
      </c>
      <c r="J10" s="479">
        <f>transport!J54</f>
        <v>0</v>
      </c>
      <c r="K10" s="479">
        <f>transport!K54</f>
        <v>0</v>
      </c>
      <c r="L10" s="479">
        <f>transport!L54</f>
        <v>0</v>
      </c>
      <c r="M10" s="479">
        <f>transport!M54</f>
        <v>42.894093308728138</v>
      </c>
      <c r="N10" s="479">
        <f>transport!N54</f>
        <v>0</v>
      </c>
      <c r="O10" s="479">
        <f>transport!O54</f>
        <v>0</v>
      </c>
      <c r="P10" s="480">
        <f>transport!P54</f>
        <v>0</v>
      </c>
      <c r="Q10" s="478">
        <f t="shared" si="0"/>
        <v>795.06463520433795</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73266.68249561984</v>
      </c>
      <c r="C14" s="489">
        <f t="shared" ref="C14:Q14" ca="1" si="1">SUM(C4:C13)</f>
        <v>1663.7142857142858</v>
      </c>
      <c r="D14" s="489">
        <f t="shared" ca="1" si="1"/>
        <v>75260.158164362045</v>
      </c>
      <c r="E14" s="489">
        <f t="shared" si="1"/>
        <v>8795.7132275442491</v>
      </c>
      <c r="F14" s="489">
        <f t="shared" ca="1" si="1"/>
        <v>100678.03344244788</v>
      </c>
      <c r="G14" s="489">
        <f t="shared" si="1"/>
        <v>55284.582248370971</v>
      </c>
      <c r="H14" s="489">
        <f t="shared" si="1"/>
        <v>11207.497154305993</v>
      </c>
      <c r="I14" s="489">
        <f t="shared" si="1"/>
        <v>0</v>
      </c>
      <c r="J14" s="489">
        <f t="shared" si="1"/>
        <v>658.04762538971761</v>
      </c>
      <c r="K14" s="489">
        <f t="shared" si="1"/>
        <v>0</v>
      </c>
      <c r="L14" s="489">
        <f t="shared" ca="1" si="1"/>
        <v>0</v>
      </c>
      <c r="M14" s="489">
        <f t="shared" si="1"/>
        <v>3542.3557418208129</v>
      </c>
      <c r="N14" s="489">
        <f t="shared" ca="1" si="1"/>
        <v>17977.265988064035</v>
      </c>
      <c r="O14" s="489">
        <f t="shared" si="1"/>
        <v>279.83666666666664</v>
      </c>
      <c r="P14" s="490">
        <f t="shared" si="1"/>
        <v>781.73333333333335</v>
      </c>
      <c r="Q14" s="490">
        <f t="shared" ca="1" si="1"/>
        <v>349395.6203736398</v>
      </c>
    </row>
    <row r="16" spans="1:17">
      <c r="A16" s="492" t="s">
        <v>566</v>
      </c>
      <c r="B16" s="842">
        <f ca="1">huishoudens!B10</f>
        <v>0.19703014040417055</v>
      </c>
      <c r="C16" s="842">
        <f ca="1">huishoudens!C10</f>
        <v>8.0807346122374769E-3</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4122.8053515334177</v>
      </c>
      <c r="C21" s="479">
        <f t="shared" ref="C21:C30" ca="1" si="3">C4*$C$16</f>
        <v>0</v>
      </c>
      <c r="D21" s="479">
        <f t="shared" ref="D21:D30" si="4">D4*$D$16</f>
        <v>5297.5273676160004</v>
      </c>
      <c r="E21" s="479">
        <f t="shared" ref="E21:E30" si="5">E4*$E$16</f>
        <v>216.08901492991495</v>
      </c>
      <c r="F21" s="479">
        <f t="shared" ref="F21:F30" si="6">F4*$F$16</f>
        <v>13512.611935161502</v>
      </c>
      <c r="G21" s="479">
        <f t="shared" ref="G21:G30" si="7">G4*$G$16</f>
        <v>0</v>
      </c>
      <c r="H21" s="479">
        <f t="shared" ref="H21:H30" si="8">H4*$H$16</f>
        <v>0</v>
      </c>
      <c r="I21" s="479">
        <f t="shared" ref="I21:I30" si="9">I4*$I$16</f>
        <v>0</v>
      </c>
      <c r="J21" s="479">
        <f t="shared" ref="J21:J30" si="10">J4*$J$16</f>
        <v>0</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23149.033669240835</v>
      </c>
    </row>
    <row r="22" spans="1:17">
      <c r="A22" s="478" t="s">
        <v>156</v>
      </c>
      <c r="B22" s="479">
        <f t="shared" ca="1" si="2"/>
        <v>1862.3658137010141</v>
      </c>
      <c r="C22" s="479">
        <f t="shared" ca="1" si="3"/>
        <v>0.45713870092086301</v>
      </c>
      <c r="D22" s="479">
        <f t="shared" ca="1" si="4"/>
        <v>1268.363123701143</v>
      </c>
      <c r="E22" s="479">
        <f t="shared" si="5"/>
        <v>22.122746636038173</v>
      </c>
      <c r="F22" s="479">
        <f t="shared" ca="1" si="6"/>
        <v>367.75002788755353</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3521.0588506266699</v>
      </c>
    </row>
    <row r="23" spans="1:17">
      <c r="A23" s="478" t="s">
        <v>194</v>
      </c>
      <c r="B23" s="479">
        <f t="shared" ca="1" si="2"/>
        <v>117.81141403270813</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117.81141403270813</v>
      </c>
    </row>
    <row r="24" spans="1:17">
      <c r="A24" s="478" t="s">
        <v>112</v>
      </c>
      <c r="B24" s="479">
        <f t="shared" ca="1" si="2"/>
        <v>506.11188601388147</v>
      </c>
      <c r="C24" s="479">
        <f t="shared" ca="1" si="3"/>
        <v>0</v>
      </c>
      <c r="D24" s="479">
        <f t="shared" si="4"/>
        <v>32.364532111999999</v>
      </c>
      <c r="E24" s="479">
        <f t="shared" si="5"/>
        <v>5.4008752088275687</v>
      </c>
      <c r="F24" s="479">
        <f t="shared" si="6"/>
        <v>1740.1160306153674</v>
      </c>
      <c r="G24" s="479">
        <f t="shared" si="7"/>
        <v>0</v>
      </c>
      <c r="H24" s="479">
        <f t="shared" si="8"/>
        <v>0</v>
      </c>
      <c r="I24" s="479">
        <f t="shared" si="9"/>
        <v>0</v>
      </c>
      <c r="J24" s="479">
        <f t="shared" si="10"/>
        <v>139.40902883147984</v>
      </c>
      <c r="K24" s="479">
        <f t="shared" si="11"/>
        <v>0</v>
      </c>
      <c r="L24" s="479">
        <f t="shared" si="12"/>
        <v>0</v>
      </c>
      <c r="M24" s="479">
        <f t="shared" si="13"/>
        <v>0</v>
      </c>
      <c r="N24" s="479">
        <f t="shared" si="14"/>
        <v>0</v>
      </c>
      <c r="O24" s="479">
        <f t="shared" si="15"/>
        <v>0</v>
      </c>
      <c r="P24" s="480">
        <f t="shared" si="16"/>
        <v>0</v>
      </c>
      <c r="Q24" s="478">
        <f t="shared" ca="1" si="17"/>
        <v>2423.4023527815561</v>
      </c>
    </row>
    <row r="25" spans="1:17">
      <c r="A25" s="478" t="s">
        <v>650</v>
      </c>
      <c r="B25" s="479">
        <f t="shared" ca="1" si="2"/>
        <v>7824.41660394883</v>
      </c>
      <c r="C25" s="479">
        <f t="shared" ca="1" si="3"/>
        <v>12.986894912524516</v>
      </c>
      <c r="D25" s="479">
        <f t="shared" si="4"/>
        <v>8598.309887464</v>
      </c>
      <c r="E25" s="479">
        <f t="shared" si="5"/>
        <v>1710.1012389038565</v>
      </c>
      <c r="F25" s="479">
        <f t="shared" si="6"/>
        <v>11260.556935469163</v>
      </c>
      <c r="G25" s="479">
        <f t="shared" si="7"/>
        <v>0</v>
      </c>
      <c r="H25" s="479">
        <f t="shared" si="8"/>
        <v>0</v>
      </c>
      <c r="I25" s="479">
        <f t="shared" si="9"/>
        <v>0</v>
      </c>
      <c r="J25" s="479">
        <f t="shared" si="10"/>
        <v>93.539830556480183</v>
      </c>
      <c r="K25" s="479">
        <f t="shared" si="11"/>
        <v>0</v>
      </c>
      <c r="L25" s="479">
        <f t="shared" si="12"/>
        <v>0</v>
      </c>
      <c r="M25" s="479">
        <f t="shared" si="13"/>
        <v>0</v>
      </c>
      <c r="N25" s="479">
        <f t="shared" si="14"/>
        <v>0</v>
      </c>
      <c r="O25" s="479">
        <f t="shared" si="15"/>
        <v>0</v>
      </c>
      <c r="P25" s="480">
        <f t="shared" si="16"/>
        <v>0</v>
      </c>
      <c r="Q25" s="478">
        <f t="shared" ca="1" si="17"/>
        <v>29499.911391254856</v>
      </c>
    </row>
    <row r="26" spans="1:17" s="484" customFormat="1">
      <c r="A26" s="482" t="s">
        <v>571</v>
      </c>
      <c r="B26" s="836">
        <f t="shared" ca="1" si="2"/>
        <v>2.2336698299101889</v>
      </c>
      <c r="C26" s="483">
        <f t="shared" ca="1" si="3"/>
        <v>0</v>
      </c>
      <c r="D26" s="483">
        <f t="shared" si="4"/>
        <v>5.9870383079889606</v>
      </c>
      <c r="E26" s="483">
        <f t="shared" si="5"/>
        <v>42.913026973907073</v>
      </c>
      <c r="F26" s="483">
        <f t="shared" si="6"/>
        <v>0</v>
      </c>
      <c r="G26" s="483">
        <f t="shared" si="7"/>
        <v>14560.153925628922</v>
      </c>
      <c r="H26" s="483">
        <f t="shared" si="8"/>
        <v>2790.6667914221921</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17401.954452162918</v>
      </c>
    </row>
    <row r="27" spans="1:17">
      <c r="A27" s="478" t="s">
        <v>561</v>
      </c>
      <c r="B27" s="479">
        <f t="shared" ca="1" si="2"/>
        <v>0</v>
      </c>
      <c r="C27" s="479">
        <f t="shared" ca="1" si="3"/>
        <v>0</v>
      </c>
      <c r="D27" s="479">
        <f t="shared" si="4"/>
        <v>0</v>
      </c>
      <c r="E27" s="479">
        <f t="shared" si="5"/>
        <v>0</v>
      </c>
      <c r="F27" s="479">
        <f t="shared" si="6"/>
        <v>0</v>
      </c>
      <c r="G27" s="479">
        <f t="shared" si="7"/>
        <v>200.82953468612786</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200.82953468612786</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14435.744739059761</v>
      </c>
      <c r="C31" s="489">
        <f t="shared" ca="1" si="18"/>
        <v>13.444033613445379</v>
      </c>
      <c r="D31" s="489">
        <f t="shared" ca="1" si="18"/>
        <v>15202.551949201132</v>
      </c>
      <c r="E31" s="489">
        <f t="shared" si="18"/>
        <v>1996.6269026525442</v>
      </c>
      <c r="F31" s="489">
        <f t="shared" ca="1" si="18"/>
        <v>26881.034929133588</v>
      </c>
      <c r="G31" s="489">
        <f t="shared" si="18"/>
        <v>14760.98346031505</v>
      </c>
      <c r="H31" s="489">
        <f t="shared" si="18"/>
        <v>2790.6667914221921</v>
      </c>
      <c r="I31" s="489">
        <f t="shared" si="18"/>
        <v>0</v>
      </c>
      <c r="J31" s="489">
        <f t="shared" si="18"/>
        <v>232.94885938796003</v>
      </c>
      <c r="K31" s="489">
        <f t="shared" si="18"/>
        <v>0</v>
      </c>
      <c r="L31" s="489">
        <f t="shared" ca="1" si="18"/>
        <v>0</v>
      </c>
      <c r="M31" s="489">
        <f t="shared" si="18"/>
        <v>0</v>
      </c>
      <c r="N31" s="489">
        <f t="shared" ca="1" si="18"/>
        <v>0</v>
      </c>
      <c r="O31" s="489">
        <f t="shared" si="18"/>
        <v>0</v>
      </c>
      <c r="P31" s="490">
        <f t="shared" si="18"/>
        <v>0</v>
      </c>
      <c r="Q31" s="490">
        <f t="shared" ca="1" si="18"/>
        <v>76314.001664785668</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0.19703014040417055</v>
      </c>
      <c r="C17" s="529">
        <f ca="1">'EF ele_warmte'!B22</f>
        <v>8.0807346122374769E-3</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0.19703014040417055</v>
      </c>
      <c r="C17" s="529">
        <f ca="1">'EF ele_warmte'!B22</f>
        <v>8.0807346122374769E-3</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0.19703014040417055</v>
      </c>
      <c r="C29" s="530">
        <f ca="1">'EF ele_warmte'!B22</f>
        <v>8.0807346122374769E-3</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73001</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4517</v>
      </c>
      <c r="C9" s="342">
        <v>4753</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1396</v>
      </c>
    </row>
    <row r="15" spans="1:6">
      <c r="A15" s="348" t="s">
        <v>184</v>
      </c>
      <c r="B15" s="334">
        <v>14</v>
      </c>
    </row>
    <row r="16" spans="1:6">
      <c r="A16" s="348" t="s">
        <v>6</v>
      </c>
      <c r="B16" s="334">
        <v>455</v>
      </c>
    </row>
    <row r="17" spans="1:6">
      <c r="A17" s="348" t="s">
        <v>7</v>
      </c>
      <c r="B17" s="334">
        <v>300</v>
      </c>
    </row>
    <row r="18" spans="1:6">
      <c r="A18" s="348" t="s">
        <v>8</v>
      </c>
      <c r="B18" s="334">
        <v>561</v>
      </c>
    </row>
    <row r="19" spans="1:6">
      <c r="A19" s="348" t="s">
        <v>9</v>
      </c>
      <c r="B19" s="334">
        <v>553</v>
      </c>
    </row>
    <row r="20" spans="1:6">
      <c r="A20" s="348" t="s">
        <v>10</v>
      </c>
      <c r="B20" s="334">
        <v>490</v>
      </c>
    </row>
    <row r="21" spans="1:6">
      <c r="A21" s="348" t="s">
        <v>11</v>
      </c>
      <c r="B21" s="334">
        <v>508</v>
      </c>
    </row>
    <row r="22" spans="1:6">
      <c r="A22" s="348" t="s">
        <v>12</v>
      </c>
      <c r="B22" s="334">
        <v>1821</v>
      </c>
    </row>
    <row r="23" spans="1:6">
      <c r="A23" s="348" t="s">
        <v>13</v>
      </c>
      <c r="B23" s="334">
        <v>35</v>
      </c>
    </row>
    <row r="24" spans="1:6">
      <c r="A24" s="348" t="s">
        <v>14</v>
      </c>
      <c r="B24" s="334">
        <v>2</v>
      </c>
    </row>
    <row r="25" spans="1:6">
      <c r="A25" s="348" t="s">
        <v>15</v>
      </c>
      <c r="B25" s="334">
        <v>268</v>
      </c>
    </row>
    <row r="26" spans="1:6">
      <c r="A26" s="348" t="s">
        <v>16</v>
      </c>
      <c r="B26" s="334">
        <v>133</v>
      </c>
    </row>
    <row r="27" spans="1:6">
      <c r="A27" s="348" t="s">
        <v>17</v>
      </c>
      <c r="B27" s="334">
        <v>167</v>
      </c>
    </row>
    <row r="28" spans="1:6" s="356" customFormat="1">
      <c r="A28" s="355" t="s">
        <v>18</v>
      </c>
      <c r="B28" s="355">
        <v>53565</v>
      </c>
    </row>
    <row r="29" spans="1:6">
      <c r="A29" s="355" t="s">
        <v>828</v>
      </c>
      <c r="B29" s="355">
        <v>102</v>
      </c>
      <c r="C29" s="356"/>
      <c r="D29" s="356"/>
      <c r="E29" s="356"/>
      <c r="F29" s="356"/>
    </row>
    <row r="30" spans="1:6">
      <c r="A30" s="341" t="s">
        <v>829</v>
      </c>
      <c r="B30" s="341">
        <v>11</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13</v>
      </c>
      <c r="D36" s="334">
        <v>1343058</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2</v>
      </c>
      <c r="F38" s="334">
        <v>7983</v>
      </c>
    </row>
    <row r="39" spans="1:6">
      <c r="A39" s="348" t="s">
        <v>30</v>
      </c>
      <c r="B39" s="348" t="s">
        <v>31</v>
      </c>
      <c r="C39" s="334">
        <v>1773</v>
      </c>
      <c r="D39" s="334">
        <v>29074704</v>
      </c>
      <c r="E39" s="334">
        <v>4406</v>
      </c>
      <c r="F39" s="334">
        <v>17131077</v>
      </c>
    </row>
    <row r="40" spans="1:6">
      <c r="A40" s="348" t="s">
        <v>30</v>
      </c>
      <c r="B40" s="348" t="s">
        <v>29</v>
      </c>
      <c r="C40" s="334">
        <v>0</v>
      </c>
      <c r="D40" s="334">
        <v>0</v>
      </c>
      <c r="E40" s="334">
        <v>0</v>
      </c>
      <c r="F40" s="334">
        <v>0</v>
      </c>
    </row>
    <row r="41" spans="1:6">
      <c r="A41" s="348" t="s">
        <v>32</v>
      </c>
      <c r="B41" s="348" t="s">
        <v>33</v>
      </c>
      <c r="C41" s="334">
        <v>31</v>
      </c>
      <c r="D41" s="334">
        <v>16732599</v>
      </c>
      <c r="E41" s="334">
        <v>95</v>
      </c>
      <c r="F41" s="334">
        <v>26951250</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5</v>
      </c>
      <c r="D44" s="334">
        <v>223526</v>
      </c>
      <c r="E44" s="334">
        <v>14</v>
      </c>
      <c r="F44" s="334">
        <v>293942</v>
      </c>
    </row>
    <row r="45" spans="1:6">
      <c r="A45" s="348" t="s">
        <v>32</v>
      </c>
      <c r="B45" s="348" t="s">
        <v>37</v>
      </c>
      <c r="C45" s="334">
        <v>0</v>
      </c>
      <c r="D45" s="334">
        <v>0</v>
      </c>
      <c r="E45" s="334">
        <v>3</v>
      </c>
      <c r="F45" s="334">
        <v>173420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v>
      </c>
      <c r="D48" s="334">
        <v>297605</v>
      </c>
      <c r="E48" s="334">
        <v>1</v>
      </c>
      <c r="F48" s="334">
        <v>49171</v>
      </c>
    </row>
    <row r="49" spans="1:6">
      <c r="A49" s="348" t="s">
        <v>32</v>
      </c>
      <c r="B49" s="348" t="s">
        <v>40</v>
      </c>
      <c r="C49" s="334">
        <v>3</v>
      </c>
      <c r="D49" s="334">
        <v>99103</v>
      </c>
      <c r="E49" s="334">
        <v>3</v>
      </c>
      <c r="F49" s="334">
        <v>97792</v>
      </c>
    </row>
    <row r="50" spans="1:6">
      <c r="A50" s="348" t="s">
        <v>32</v>
      </c>
      <c r="B50" s="348" t="s">
        <v>41</v>
      </c>
      <c r="C50" s="334">
        <v>5</v>
      </c>
      <c r="D50" s="334">
        <v>29837733</v>
      </c>
      <c r="E50" s="334">
        <v>10</v>
      </c>
      <c r="F50" s="334">
        <v>11021200</v>
      </c>
    </row>
    <row r="51" spans="1:6">
      <c r="A51" s="348" t="s">
        <v>42</v>
      </c>
      <c r="B51" s="348" t="s">
        <v>43</v>
      </c>
      <c r="C51" s="334">
        <v>4</v>
      </c>
      <c r="D51" s="334">
        <v>177628</v>
      </c>
      <c r="E51" s="334">
        <v>74</v>
      </c>
      <c r="F51" s="334">
        <v>2568702.8643216081</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64</v>
      </c>
      <c r="F54" s="334">
        <v>597936</v>
      </c>
    </row>
    <row r="55" spans="1:6">
      <c r="A55" s="348" t="s">
        <v>46</v>
      </c>
      <c r="B55" s="348" t="s">
        <v>29</v>
      </c>
      <c r="C55" s="334">
        <v>0</v>
      </c>
      <c r="D55" s="334">
        <v>0</v>
      </c>
      <c r="E55" s="334">
        <v>0</v>
      </c>
      <c r="F55" s="334">
        <v>0</v>
      </c>
    </row>
    <row r="56" spans="1:6">
      <c r="A56" s="348" t="s">
        <v>48</v>
      </c>
      <c r="B56" s="348" t="s">
        <v>29</v>
      </c>
      <c r="C56" s="334">
        <v>29</v>
      </c>
      <c r="D56" s="334">
        <v>694098</v>
      </c>
      <c r="E56" s="334">
        <v>88</v>
      </c>
      <c r="F56" s="334">
        <v>421794</v>
      </c>
    </row>
    <row r="57" spans="1:6">
      <c r="A57" s="348" t="s">
        <v>49</v>
      </c>
      <c r="B57" s="348" t="s">
        <v>50</v>
      </c>
      <c r="C57" s="334">
        <v>19</v>
      </c>
      <c r="D57" s="334">
        <v>542877</v>
      </c>
      <c r="E57" s="334">
        <v>46</v>
      </c>
      <c r="F57" s="334">
        <v>1091385</v>
      </c>
    </row>
    <row r="58" spans="1:6">
      <c r="A58" s="348" t="s">
        <v>49</v>
      </c>
      <c r="B58" s="348" t="s">
        <v>51</v>
      </c>
      <c r="C58" s="334">
        <v>21</v>
      </c>
      <c r="D58" s="334">
        <v>1510780</v>
      </c>
      <c r="E58" s="334">
        <v>27</v>
      </c>
      <c r="F58" s="334">
        <v>577988</v>
      </c>
    </row>
    <row r="59" spans="1:6">
      <c r="A59" s="348" t="s">
        <v>49</v>
      </c>
      <c r="B59" s="348" t="s">
        <v>52</v>
      </c>
      <c r="C59" s="334">
        <v>47</v>
      </c>
      <c r="D59" s="334">
        <v>1672464</v>
      </c>
      <c r="E59" s="334">
        <v>137</v>
      </c>
      <c r="F59" s="334">
        <v>3783905.4160000002</v>
      </c>
    </row>
    <row r="60" spans="1:6">
      <c r="A60" s="348" t="s">
        <v>49</v>
      </c>
      <c r="B60" s="348" t="s">
        <v>53</v>
      </c>
      <c r="C60" s="334">
        <v>20</v>
      </c>
      <c r="D60" s="334">
        <v>988883</v>
      </c>
      <c r="E60" s="334">
        <v>33</v>
      </c>
      <c r="F60" s="334">
        <v>1059491</v>
      </c>
    </row>
    <row r="61" spans="1:6">
      <c r="A61" s="348" t="s">
        <v>49</v>
      </c>
      <c r="B61" s="348" t="s">
        <v>54</v>
      </c>
      <c r="C61" s="334">
        <v>65</v>
      </c>
      <c r="D61" s="334">
        <v>1852953</v>
      </c>
      <c r="E61" s="334">
        <v>203</v>
      </c>
      <c r="F61" s="334">
        <v>2781371</v>
      </c>
    </row>
    <row r="62" spans="1:6">
      <c r="A62" s="348" t="s">
        <v>49</v>
      </c>
      <c r="B62" s="348" t="s">
        <v>55</v>
      </c>
      <c r="C62" s="334">
        <v>5</v>
      </c>
      <c r="D62" s="334">
        <v>518704</v>
      </c>
      <c r="E62" s="334">
        <v>10</v>
      </c>
      <c r="F62" s="334">
        <v>118447</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2</v>
      </c>
      <c r="D65" s="334">
        <v>89016</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7</v>
      </c>
      <c r="F68" s="334">
        <v>82371</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68700636</v>
      </c>
      <c r="E73" s="477">
        <v>92469716.034849524</v>
      </c>
    </row>
    <row r="74" spans="1:6">
      <c r="A74" s="348" t="s">
        <v>64</v>
      </c>
      <c r="B74" s="348" t="s">
        <v>714</v>
      </c>
      <c r="C74" s="1229" t="s">
        <v>716</v>
      </c>
      <c r="D74" s="477">
        <v>5904202.8738324912</v>
      </c>
      <c r="E74" s="477">
        <v>6651970.5487097465</v>
      </c>
    </row>
    <row r="75" spans="1:6">
      <c r="A75" s="348" t="s">
        <v>65</v>
      </c>
      <c r="B75" s="348" t="s">
        <v>713</v>
      </c>
      <c r="C75" s="1229" t="s">
        <v>717</v>
      </c>
      <c r="D75" s="477">
        <v>14016619</v>
      </c>
      <c r="E75" s="477">
        <v>18756057.640463252</v>
      </c>
    </row>
    <row r="76" spans="1:6">
      <c r="A76" s="348" t="s">
        <v>65</v>
      </c>
      <c r="B76" s="348" t="s">
        <v>714</v>
      </c>
      <c r="C76" s="1229" t="s">
        <v>718</v>
      </c>
      <c r="D76" s="477">
        <v>181413.87383249076</v>
      </c>
      <c r="E76" s="477">
        <v>228577.84820703504</v>
      </c>
    </row>
    <row r="77" spans="1:6">
      <c r="A77" s="348" t="s">
        <v>66</v>
      </c>
      <c r="B77" s="348" t="s">
        <v>713</v>
      </c>
      <c r="C77" s="1229" t="s">
        <v>719</v>
      </c>
      <c r="D77" s="477">
        <v>0</v>
      </c>
      <c r="E77" s="477">
        <v>0</v>
      </c>
    </row>
    <row r="78" spans="1:6">
      <c r="A78" s="341" t="s">
        <v>66</v>
      </c>
      <c r="B78" s="341" t="s">
        <v>714</v>
      </c>
      <c r="C78" s="341" t="s">
        <v>720</v>
      </c>
      <c r="D78" s="1225">
        <v>0</v>
      </c>
      <c r="E78" s="1225">
        <v>0</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212460.25233501845</v>
      </c>
      <c r="C83" s="477">
        <v>208838.46536149108</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3793.6675242451352</v>
      </c>
    </row>
    <row r="92" spans="1:6">
      <c r="A92" s="341" t="s">
        <v>69</v>
      </c>
      <c r="B92" s="342">
        <v>3030.8859418256047</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534</v>
      </c>
    </row>
    <row r="98" spans="1:6">
      <c r="A98" s="348" t="s">
        <v>72</v>
      </c>
      <c r="B98" s="334">
        <v>0</v>
      </c>
    </row>
    <row r="99" spans="1:6">
      <c r="A99" s="348" t="s">
        <v>73</v>
      </c>
      <c r="B99" s="334">
        <v>23</v>
      </c>
    </row>
    <row r="100" spans="1:6">
      <c r="A100" s="348" t="s">
        <v>74</v>
      </c>
      <c r="B100" s="334">
        <v>174</v>
      </c>
    </row>
    <row r="101" spans="1:6">
      <c r="A101" s="348" t="s">
        <v>75</v>
      </c>
      <c r="B101" s="334">
        <v>37</v>
      </c>
    </row>
    <row r="102" spans="1:6">
      <c r="A102" s="348" t="s">
        <v>76</v>
      </c>
      <c r="B102" s="334">
        <v>41</v>
      </c>
    </row>
    <row r="103" spans="1:6">
      <c r="A103" s="348" t="s">
        <v>77</v>
      </c>
      <c r="B103" s="334">
        <v>77</v>
      </c>
    </row>
    <row r="104" spans="1:6">
      <c r="A104" s="348" t="s">
        <v>78</v>
      </c>
      <c r="B104" s="334">
        <v>3171</v>
      </c>
    </row>
    <row r="105" spans="1:6">
      <c r="A105" s="341" t="s">
        <v>79</v>
      </c>
      <c r="B105" s="341">
        <v>1</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11</v>
      </c>
      <c r="C123" s="334">
        <v>19</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158</v>
      </c>
    </row>
    <row r="130" spans="1:6">
      <c r="A130" s="348" t="s">
        <v>295</v>
      </c>
      <c r="B130" s="334">
        <v>2</v>
      </c>
    </row>
    <row r="131" spans="1:6">
      <c r="A131" s="348" t="s">
        <v>296</v>
      </c>
      <c r="B131" s="334">
        <v>2</v>
      </c>
    </row>
    <row r="132" spans="1:6">
      <c r="A132" s="341" t="s">
        <v>297</v>
      </c>
      <c r="B132" s="342">
        <v>28</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73266.682495619825</v>
      </c>
      <c r="C3" s="43" t="s">
        <v>170</v>
      </c>
      <c r="D3" s="43"/>
      <c r="E3" s="154"/>
      <c r="F3" s="43"/>
      <c r="G3" s="43"/>
      <c r="H3" s="43"/>
      <c r="I3" s="43"/>
      <c r="J3" s="43"/>
      <c r="K3" s="96"/>
    </row>
    <row r="4" spans="1:11">
      <c r="A4" s="384" t="s">
        <v>171</v>
      </c>
      <c r="B4" s="49">
        <f>IF(ISERROR('SEAP template'!B69),0,'SEAP template'!B69)</f>
        <v>7989.1534660707403</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9.4108235294117666</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0.19703014040417055</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13.444033613445381</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1663.7142857142858</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8.0807346122374769E-3</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597.93600000000004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597.93600000000004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0.19703014040417055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117.81141403270813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17131.077000000001</v>
      </c>
      <c r="C5" s="17">
        <f>IF(ISERROR('Eigen informatie GS &amp; warmtenet'!B57),0,'Eigen informatie GS &amp; warmtenet'!B57)</f>
        <v>0</v>
      </c>
      <c r="D5" s="30">
        <f>(SUM(HH_hh_gas_kWh,HH_rest_gas_kWh)/1000)*0.902</f>
        <v>26225.383008000001</v>
      </c>
      <c r="E5" s="17">
        <f>B46*B57</f>
        <v>951.93398647539618</v>
      </c>
      <c r="F5" s="17">
        <f>B51*B62</f>
        <v>50609.033465024346</v>
      </c>
      <c r="G5" s="18"/>
      <c r="H5" s="17"/>
      <c r="I5" s="17"/>
      <c r="J5" s="17">
        <f>B50*B61+C50*C61</f>
        <v>0</v>
      </c>
      <c r="K5" s="17"/>
      <c r="L5" s="17"/>
      <c r="M5" s="17"/>
      <c r="N5" s="17">
        <f>B48*B59+C48*C59</f>
        <v>5807.3621157974876</v>
      </c>
      <c r="O5" s="17">
        <f>B69*B70*B71</f>
        <v>276.70999999999998</v>
      </c>
      <c r="P5" s="17">
        <f>B77*B78*B79/1000-B77*B78*B79/1000/B80</f>
        <v>743.6</v>
      </c>
    </row>
    <row r="6" spans="1:16">
      <c r="A6" s="16" t="s">
        <v>631</v>
      </c>
      <c r="B6" s="844">
        <f>kWh_PV_kleiner_dan_10kW</f>
        <v>3793.6675242451352</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20924.744524245136</v>
      </c>
      <c r="C8" s="21">
        <f>C5</f>
        <v>0</v>
      </c>
      <c r="D8" s="21">
        <f>D5</f>
        <v>26225.383008000001</v>
      </c>
      <c r="E8" s="21">
        <f>E5</f>
        <v>951.93398647539618</v>
      </c>
      <c r="F8" s="21">
        <f>F5</f>
        <v>50609.033465024346</v>
      </c>
      <c r="G8" s="21"/>
      <c r="H8" s="21"/>
      <c r="I8" s="21"/>
      <c r="J8" s="21">
        <f>J5</f>
        <v>0</v>
      </c>
      <c r="K8" s="21"/>
      <c r="L8" s="21">
        <f>L5</f>
        <v>0</v>
      </c>
      <c r="M8" s="21">
        <f>M5</f>
        <v>0</v>
      </c>
      <c r="N8" s="21">
        <f>N5</f>
        <v>5807.3621157974876</v>
      </c>
      <c r="O8" s="21">
        <f>O5</f>
        <v>276.70999999999998</v>
      </c>
      <c r="P8" s="21">
        <f>P5</f>
        <v>743.6</v>
      </c>
    </row>
    <row r="9" spans="1:16">
      <c r="B9" s="19"/>
      <c r="C9" s="19"/>
      <c r="D9" s="258"/>
      <c r="E9" s="19"/>
      <c r="F9" s="19"/>
      <c r="G9" s="19"/>
      <c r="H9" s="19"/>
      <c r="I9" s="19"/>
      <c r="J9" s="19"/>
      <c r="K9" s="19"/>
      <c r="L9" s="19"/>
      <c r="M9" s="19"/>
      <c r="N9" s="19"/>
      <c r="O9" s="19"/>
      <c r="P9" s="19"/>
    </row>
    <row r="10" spans="1:16">
      <c r="A10" s="24" t="s">
        <v>214</v>
      </c>
      <c r="B10" s="25">
        <f ca="1">'EF ele_warmte'!B12</f>
        <v>0.19703014040417055</v>
      </c>
      <c r="C10" s="25">
        <f ca="1">'EF ele_warmte'!B22</f>
        <v>8.0807346122374769E-3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4122.8053515334177</v>
      </c>
      <c r="C12" s="23">
        <f ca="1">C10*C8</f>
        <v>0</v>
      </c>
      <c r="D12" s="23">
        <f>D8*D10</f>
        <v>5297.5273676160004</v>
      </c>
      <c r="E12" s="23">
        <f>E10*E8</f>
        <v>216.08901492991495</v>
      </c>
      <c r="F12" s="23">
        <f>F10*F8</f>
        <v>13512.611935161502</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534</v>
      </c>
      <c r="C18" s="166" t="s">
        <v>111</v>
      </c>
      <c r="D18" s="228"/>
      <c r="E18" s="15"/>
    </row>
    <row r="19" spans="1:7">
      <c r="A19" s="171" t="s">
        <v>72</v>
      </c>
      <c r="B19" s="37">
        <f>aantalw2001_ander</f>
        <v>0</v>
      </c>
      <c r="C19" s="166" t="s">
        <v>111</v>
      </c>
      <c r="D19" s="229"/>
      <c r="E19" s="15"/>
    </row>
    <row r="20" spans="1:7">
      <c r="A20" s="171" t="s">
        <v>73</v>
      </c>
      <c r="B20" s="37">
        <f>aantalw2001_propaan</f>
        <v>23</v>
      </c>
      <c r="C20" s="167">
        <f>IF(ISERROR(B20/SUM($B$20,$B$21,$B$22)*100),0,B20/SUM($B$20,$B$21,$B$22)*100)</f>
        <v>9.8290598290598297</v>
      </c>
      <c r="D20" s="229"/>
      <c r="E20" s="15"/>
    </row>
    <row r="21" spans="1:7">
      <c r="A21" s="171" t="s">
        <v>74</v>
      </c>
      <c r="B21" s="37">
        <f>aantalw2001_elektriciteit</f>
        <v>174</v>
      </c>
      <c r="C21" s="167">
        <f>IF(ISERROR(B21/SUM($B$20,$B$21,$B$22)*100),0,B21/SUM($B$20,$B$21,$B$22)*100)</f>
        <v>74.358974358974365</v>
      </c>
      <c r="D21" s="229"/>
      <c r="E21" s="15"/>
    </row>
    <row r="22" spans="1:7">
      <c r="A22" s="171" t="s">
        <v>75</v>
      </c>
      <c r="B22" s="37">
        <f>aantalw2001_hout</f>
        <v>37</v>
      </c>
      <c r="C22" s="167">
        <f>IF(ISERROR(B22/SUM($B$20,$B$21,$B$22)*100),0,B22/SUM($B$20,$B$21,$B$22)*100)</f>
        <v>15.811965811965811</v>
      </c>
      <c r="D22" s="229"/>
      <c r="E22" s="15"/>
    </row>
    <row r="23" spans="1:7">
      <c r="A23" s="171" t="s">
        <v>76</v>
      </c>
      <c r="B23" s="37">
        <f>aantalw2001_niet_gespec</f>
        <v>41</v>
      </c>
      <c r="C23" s="166" t="s">
        <v>111</v>
      </c>
      <c r="D23" s="228"/>
      <c r="E23" s="15"/>
    </row>
    <row r="24" spans="1:7">
      <c r="A24" s="171" t="s">
        <v>77</v>
      </c>
      <c r="B24" s="37">
        <f>aantalw2001_steenkool</f>
        <v>77</v>
      </c>
      <c r="C24" s="166" t="s">
        <v>111</v>
      </c>
      <c r="D24" s="229"/>
      <c r="E24" s="15"/>
    </row>
    <row r="25" spans="1:7">
      <c r="A25" s="171" t="s">
        <v>78</v>
      </c>
      <c r="B25" s="37">
        <f>aantalw2001_stookolie</f>
        <v>3171</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740</v>
      </c>
      <c r="B28" s="37">
        <f>aantalHuishoudens2011</f>
        <v>4517</v>
      </c>
      <c r="C28" s="36"/>
      <c r="D28" s="228"/>
    </row>
    <row r="29" spans="1:7" s="15" customFormat="1">
      <c r="A29" s="230" t="s">
        <v>741</v>
      </c>
      <c r="B29" s="37">
        <f>SUM(HH_hh_gas_aantal,HH_rest_gas_aantal)</f>
        <v>1773</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1773</v>
      </c>
      <c r="C32" s="167">
        <f>IF(ISERROR(B32/SUM($B$32,$B$34,$B$35,$B$36,$B$38,$B$39)*100),0,B32/SUM($B$32,$B$34,$B$35,$B$36,$B$38,$B$39)*100)</f>
        <v>39.593568557391698</v>
      </c>
      <c r="D32" s="233"/>
      <c r="G32" s="15"/>
    </row>
    <row r="33" spans="1:7">
      <c r="A33" s="171" t="s">
        <v>72</v>
      </c>
      <c r="B33" s="34" t="s">
        <v>111</v>
      </c>
      <c r="C33" s="167"/>
      <c r="D33" s="233"/>
      <c r="G33" s="15"/>
    </row>
    <row r="34" spans="1:7">
      <c r="A34" s="171" t="s">
        <v>73</v>
      </c>
      <c r="B34" s="33">
        <f>IF((($B$28-$B$32-$B$39-$B$77-$B$38)*C20/100)&lt;0,0,($B$28-$B$32-$B$39-$B$77-$B$38)*C20/100)</f>
        <v>63.800427350427391</v>
      </c>
      <c r="C34" s="167">
        <f>IF(ISERROR(B34/SUM($B$32,$B$34,$B$35,$B$36,$B$38,$B$39)*100),0,B34/SUM($B$32,$B$34,$B$35,$B$36,$B$38,$B$39)*100)</f>
        <v>1.4247527322560829</v>
      </c>
      <c r="D34" s="233"/>
      <c r="G34" s="15"/>
    </row>
    <row r="35" spans="1:7">
      <c r="A35" s="171" t="s">
        <v>74</v>
      </c>
      <c r="B35" s="33">
        <f>IF((($B$28-$B$32-$B$39-$B$77-$B$38)*C21/100)&lt;0,0,($B$28-$B$32-$B$39-$B$77-$B$38)*C21/100)</f>
        <v>482.66410256410285</v>
      </c>
      <c r="C35" s="167">
        <f>IF(ISERROR(B35/SUM($B$32,$B$34,$B$35,$B$36,$B$38,$B$39)*100),0,B35/SUM($B$32,$B$34,$B$35,$B$36,$B$38,$B$39)*100)</f>
        <v>10.778564148372105</v>
      </c>
      <c r="D35" s="233"/>
      <c r="G35" s="15"/>
    </row>
    <row r="36" spans="1:7">
      <c r="A36" s="171" t="s">
        <v>75</v>
      </c>
      <c r="B36" s="33">
        <f>IF((($B$28-$B$32-$B$39-$B$77-$B$38)*C22/100)&lt;0,0,($B$28-$B$32-$B$39-$B$77-$B$38)*C22/100)</f>
        <v>102.63547008547013</v>
      </c>
      <c r="C36" s="167">
        <f>IF(ISERROR(B36/SUM($B$32,$B$34,$B$35,$B$36,$B$38,$B$39)*100),0,B36/SUM($B$32,$B$34,$B$35,$B$36,$B$38,$B$39)*100)</f>
        <v>2.2919935258032633</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2055.8999999999996</v>
      </c>
      <c r="C39" s="167">
        <f>IF(ISERROR(B39/SUM($B$32,$B$34,$B$35,$B$36,$B$38,$B$39)*100),0,B39/SUM($B$32,$B$34,$B$35,$B$36,$B$38,$B$39)*100)</f>
        <v>45.911121036176858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1773</v>
      </c>
      <c r="C44" s="34" t="s">
        <v>111</v>
      </c>
      <c r="D44" s="174"/>
    </row>
    <row r="45" spans="1:7">
      <c r="A45" s="171" t="s">
        <v>72</v>
      </c>
      <c r="B45" s="33" t="str">
        <f t="shared" si="0"/>
        <v>-</v>
      </c>
      <c r="C45" s="34" t="s">
        <v>111</v>
      </c>
      <c r="D45" s="174"/>
    </row>
    <row r="46" spans="1:7">
      <c r="A46" s="171" t="s">
        <v>73</v>
      </c>
      <c r="B46" s="33">
        <f t="shared" si="0"/>
        <v>63.800427350427391</v>
      </c>
      <c r="C46" s="34" t="s">
        <v>111</v>
      </c>
      <c r="D46" s="174"/>
    </row>
    <row r="47" spans="1:7">
      <c r="A47" s="171" t="s">
        <v>74</v>
      </c>
      <c r="B47" s="33">
        <f t="shared" si="0"/>
        <v>482.66410256410285</v>
      </c>
      <c r="C47" s="34" t="s">
        <v>111</v>
      </c>
      <c r="D47" s="174"/>
    </row>
    <row r="48" spans="1:7">
      <c r="A48" s="171" t="s">
        <v>75</v>
      </c>
      <c r="B48" s="33">
        <f t="shared" si="0"/>
        <v>102.63547008547013</v>
      </c>
      <c r="C48" s="33">
        <f>B48*10</f>
        <v>1026.3547008547014</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2055.8999999999996</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177</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39</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9412.5874160000003</v>
      </c>
      <c r="C5" s="17">
        <f>IF(ISERROR('Eigen informatie GS &amp; warmtenet'!B58),0,'Eigen informatie GS &amp; warmtenet'!B58)</f>
        <v>0</v>
      </c>
      <c r="D5" s="30">
        <f>SUM(D6:D12)</f>
        <v>6392.1682220000002</v>
      </c>
      <c r="E5" s="17">
        <f>SUM(E6:E12)</f>
        <v>97.457033638934675</v>
      </c>
      <c r="F5" s="17">
        <f>SUM(F6:F12)</f>
        <v>1377.3409284178033</v>
      </c>
      <c r="G5" s="18"/>
      <c r="H5" s="17"/>
      <c r="I5" s="17"/>
      <c r="J5" s="17">
        <f>SUM(J6:J12)</f>
        <v>0</v>
      </c>
      <c r="K5" s="17"/>
      <c r="L5" s="17"/>
      <c r="M5" s="17"/>
      <c r="N5" s="17">
        <f>SUM(N6:N12)</f>
        <v>832.37203717009356</v>
      </c>
      <c r="O5" s="17">
        <f>B38*B39*B40</f>
        <v>3.1266666666666669</v>
      </c>
      <c r="P5" s="17">
        <f>B46*B47*B48/1000-B46*B47*B48/1000/B49</f>
        <v>38.133333333333333</v>
      </c>
      <c r="R5" s="32"/>
    </row>
    <row r="6" spans="1:18">
      <c r="A6" s="32" t="s">
        <v>54</v>
      </c>
      <c r="B6" s="37">
        <f>B26</f>
        <v>2781.3710000000001</v>
      </c>
      <c r="C6" s="33"/>
      <c r="D6" s="37">
        <f>IF(ISERROR(TER_kantoor_gas_kWh/1000),0,TER_kantoor_gas_kWh/1000)*0.902</f>
        <v>1671.3636060000001</v>
      </c>
      <c r="E6" s="33">
        <f>$C$26*'E Balans VL '!I12/100/3.6*1000000</f>
        <v>8.0580398719891306</v>
      </c>
      <c r="F6" s="33">
        <f>$C$26*('E Balans VL '!L12+'E Balans VL '!N12)/100/3.6*1000000</f>
        <v>314.78991884581558</v>
      </c>
      <c r="G6" s="34"/>
      <c r="H6" s="33"/>
      <c r="I6" s="33"/>
      <c r="J6" s="33">
        <f>$C$26*('E Balans VL '!D12+'E Balans VL '!E12)/100/3.6*1000000</f>
        <v>0</v>
      </c>
      <c r="K6" s="33"/>
      <c r="L6" s="33"/>
      <c r="M6" s="33"/>
      <c r="N6" s="33">
        <f>$C$26*'E Balans VL '!Y12/100/3.6*1000000</f>
        <v>27.83947430434376</v>
      </c>
      <c r="O6" s="33"/>
      <c r="P6" s="33"/>
      <c r="R6" s="32"/>
    </row>
    <row r="7" spans="1:18">
      <c r="A7" s="32" t="s">
        <v>53</v>
      </c>
      <c r="B7" s="37">
        <f t="shared" ref="B7:B12" si="0">B27</f>
        <v>1059.491</v>
      </c>
      <c r="C7" s="33"/>
      <c r="D7" s="37">
        <f>IF(ISERROR(TER_horeca_gas_kWh/1000),0,TER_horeca_gas_kWh/1000)*0.902</f>
        <v>891.97246600000005</v>
      </c>
      <c r="E7" s="33">
        <f>$C$27*'E Balans VL '!I9/100/3.6*1000000</f>
        <v>44.474472020650097</v>
      </c>
      <c r="F7" s="33">
        <f>$C$27*('E Balans VL '!L9+'E Balans VL '!N9)/100/3.6*1000000</f>
        <v>227.65336825925934</v>
      </c>
      <c r="G7" s="34"/>
      <c r="H7" s="33"/>
      <c r="I7" s="33"/>
      <c r="J7" s="33">
        <f>$C$27*('E Balans VL '!D9+'E Balans VL '!E9)/100/3.6*1000000</f>
        <v>0</v>
      </c>
      <c r="K7" s="33"/>
      <c r="L7" s="33"/>
      <c r="M7" s="33"/>
      <c r="N7" s="33">
        <f>$C$27*'E Balans VL '!Y9/100/3.6*1000000</f>
        <v>0.27302156511507453</v>
      </c>
      <c r="O7" s="33"/>
      <c r="P7" s="33"/>
      <c r="R7" s="32"/>
    </row>
    <row r="8" spans="1:18">
      <c r="A8" s="6" t="s">
        <v>52</v>
      </c>
      <c r="B8" s="37">
        <f t="shared" si="0"/>
        <v>3783.9054160000001</v>
      </c>
      <c r="C8" s="33"/>
      <c r="D8" s="37">
        <f>IF(ISERROR(TER_handel_gas_kWh/1000),0,TER_handel_gas_kWh/1000)*0.902</f>
        <v>1508.5625279999999</v>
      </c>
      <c r="E8" s="33">
        <f>$C$28*'E Balans VL '!I13/100/3.6*1000000</f>
        <v>40.642293422795156</v>
      </c>
      <c r="F8" s="33">
        <f>$C$28*('E Balans VL '!L13+'E Balans VL '!N13)/100/3.6*1000000</f>
        <v>489.85780294797809</v>
      </c>
      <c r="G8" s="34"/>
      <c r="H8" s="33"/>
      <c r="I8" s="33"/>
      <c r="J8" s="33">
        <f>$C$28*('E Balans VL '!D13+'E Balans VL '!E13)/100/3.6*1000000</f>
        <v>0</v>
      </c>
      <c r="K8" s="33"/>
      <c r="L8" s="33"/>
      <c r="M8" s="33"/>
      <c r="N8" s="33">
        <f>$C$28*'E Balans VL '!Y13/100/3.6*1000000</f>
        <v>30.695247344811033</v>
      </c>
      <c r="O8" s="33"/>
      <c r="P8" s="33"/>
      <c r="R8" s="32"/>
    </row>
    <row r="9" spans="1:18">
      <c r="A9" s="32" t="s">
        <v>51</v>
      </c>
      <c r="B9" s="37">
        <f t="shared" si="0"/>
        <v>577.98800000000006</v>
      </c>
      <c r="C9" s="33"/>
      <c r="D9" s="37">
        <f>IF(ISERROR(TER_gezond_gas_kWh/1000),0,TER_gezond_gas_kWh/1000)*0.902</f>
        <v>1362.7235599999999</v>
      </c>
      <c r="E9" s="33">
        <f>$C$29*'E Balans VL '!I10/100/3.6*1000000</f>
        <v>0.46011583126231287</v>
      </c>
      <c r="F9" s="33">
        <f>$C$29*('E Balans VL '!L10+'E Balans VL '!N10)/100/3.6*1000000</f>
        <v>70.262794078929176</v>
      </c>
      <c r="G9" s="34"/>
      <c r="H9" s="33"/>
      <c r="I9" s="33"/>
      <c r="J9" s="33">
        <f>$C$29*('E Balans VL '!D10+'E Balans VL '!E10)/100/3.6*1000000</f>
        <v>0</v>
      </c>
      <c r="K9" s="33"/>
      <c r="L9" s="33"/>
      <c r="M9" s="33"/>
      <c r="N9" s="33">
        <f>$C$29*'E Balans VL '!Y10/100/3.6*1000000</f>
        <v>4.6688339361404685</v>
      </c>
      <c r="O9" s="33"/>
      <c r="P9" s="33"/>
      <c r="R9" s="32"/>
    </row>
    <row r="10" spans="1:18">
      <c r="A10" s="32" t="s">
        <v>50</v>
      </c>
      <c r="B10" s="37">
        <f t="shared" si="0"/>
        <v>1091.385</v>
      </c>
      <c r="C10" s="33"/>
      <c r="D10" s="37">
        <f>IF(ISERROR(TER_ander_gas_kWh/1000),0,TER_ander_gas_kWh/1000)*0.902</f>
        <v>489.67505399999999</v>
      </c>
      <c r="E10" s="33">
        <f>$C$30*'E Balans VL '!I14/100/3.6*1000000</f>
        <v>3.7402337290184833</v>
      </c>
      <c r="F10" s="33">
        <f>$C$30*('E Balans VL '!L14+'E Balans VL '!N14)/100/3.6*1000000</f>
        <v>243.77106033771727</v>
      </c>
      <c r="G10" s="34"/>
      <c r="H10" s="33"/>
      <c r="I10" s="33"/>
      <c r="J10" s="33">
        <f>$C$30*('E Balans VL '!D14+'E Balans VL '!E14)/100/3.6*1000000</f>
        <v>0</v>
      </c>
      <c r="K10" s="33"/>
      <c r="L10" s="33"/>
      <c r="M10" s="33"/>
      <c r="N10" s="33">
        <f>$C$30*'E Balans VL '!Y14/100/3.6*1000000</f>
        <v>768.77755611971168</v>
      </c>
      <c r="O10" s="33"/>
      <c r="P10" s="33"/>
      <c r="R10" s="32"/>
    </row>
    <row r="11" spans="1:18">
      <c r="A11" s="32" t="s">
        <v>55</v>
      </c>
      <c r="B11" s="37">
        <f t="shared" si="0"/>
        <v>118.447</v>
      </c>
      <c r="C11" s="33"/>
      <c r="D11" s="37">
        <f>IF(ISERROR(TER_onderwijs_gas_kWh/1000),0,TER_onderwijs_gas_kWh/1000)*0.902</f>
        <v>467.87100799999996</v>
      </c>
      <c r="E11" s="33">
        <f>$C$31*'E Balans VL '!I11/100/3.6*1000000</f>
        <v>8.1878763219492737E-2</v>
      </c>
      <c r="F11" s="33">
        <f>$C$31*('E Balans VL '!L11+'E Balans VL '!N11)/100/3.6*1000000</f>
        <v>31.00598394810384</v>
      </c>
      <c r="G11" s="34"/>
      <c r="H11" s="33"/>
      <c r="I11" s="33"/>
      <c r="J11" s="33">
        <f>$C$31*('E Balans VL '!D11+'E Balans VL '!E11)/100/3.6*1000000</f>
        <v>0</v>
      </c>
      <c r="K11" s="33"/>
      <c r="L11" s="33"/>
      <c r="M11" s="33"/>
      <c r="N11" s="33">
        <f>$C$31*'E Balans VL '!Y11/100/3.6*1000000</f>
        <v>0.11790389997152857</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494</v>
      </c>
      <c r="B13" s="247">
        <f ca="1">'lokale energieproductie'!N90+'lokale energieproductie'!N59</f>
        <v>39.6</v>
      </c>
      <c r="C13" s="247">
        <f ca="1">'lokale energieproductie'!O90+'lokale energieproductie'!O59</f>
        <v>56.571428571428577</v>
      </c>
      <c r="D13" s="310">
        <f ca="1">('lokale energieproductie'!P59+'lokale energieproductie'!P90)*(-1)</f>
        <v>-113.14285714285715</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9452.1874160000007</v>
      </c>
      <c r="C16" s="21">
        <f t="shared" ca="1" si="1"/>
        <v>56.571428571428577</v>
      </c>
      <c r="D16" s="21">
        <f t="shared" ca="1" si="1"/>
        <v>6279.0253648571434</v>
      </c>
      <c r="E16" s="21">
        <f t="shared" si="1"/>
        <v>97.457033638934675</v>
      </c>
      <c r="F16" s="21">
        <f t="shared" ca="1" si="1"/>
        <v>1377.3409284178033</v>
      </c>
      <c r="G16" s="21">
        <f t="shared" si="1"/>
        <v>0</v>
      </c>
      <c r="H16" s="21">
        <f t="shared" si="1"/>
        <v>0</v>
      </c>
      <c r="I16" s="21">
        <f t="shared" si="1"/>
        <v>0</v>
      </c>
      <c r="J16" s="21">
        <f t="shared" si="1"/>
        <v>0</v>
      </c>
      <c r="K16" s="21">
        <f t="shared" si="1"/>
        <v>0</v>
      </c>
      <c r="L16" s="21">
        <f t="shared" ca="1" si="1"/>
        <v>0</v>
      </c>
      <c r="M16" s="21">
        <f t="shared" si="1"/>
        <v>0</v>
      </c>
      <c r="N16" s="21">
        <f t="shared" ca="1" si="1"/>
        <v>832.37203717009356</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0.19703014040417055</v>
      </c>
      <c r="C18" s="25">
        <f ca="1">'EF ele_warmte'!B22</f>
        <v>8.0807346122374769E-3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1862.3658137010141</v>
      </c>
      <c r="C20" s="23">
        <f t="shared" ref="C20:P20" ca="1" si="2">C16*C18</f>
        <v>0.45713870092086301</v>
      </c>
      <c r="D20" s="23">
        <f t="shared" ca="1" si="2"/>
        <v>1268.363123701143</v>
      </c>
      <c r="E20" s="23">
        <f t="shared" si="2"/>
        <v>22.122746636038173</v>
      </c>
      <c r="F20" s="23">
        <f t="shared" ca="1" si="2"/>
        <v>367.75002788755353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2781.3710000000001</v>
      </c>
      <c r="C26" s="39">
        <f>IF(ISERROR(B26*3.6/1000000/'E Balans VL '!Z12*100),0,B26*3.6/1000000/'E Balans VL '!Z12*100)</f>
        <v>6.109602960187601E-2</v>
      </c>
      <c r="D26" s="237" t="s">
        <v>692</v>
      </c>
      <c r="F26" s="6"/>
    </row>
    <row r="27" spans="1:18">
      <c r="A27" s="231" t="s">
        <v>53</v>
      </c>
      <c r="B27" s="33">
        <f>IF(ISERROR(TER_horeca_ele_kWh/1000),0,TER_horeca_ele_kWh/1000)</f>
        <v>1059.491</v>
      </c>
      <c r="C27" s="39">
        <f>IF(ISERROR(B27*3.6/1000000/'E Balans VL '!Z9*100),0,B27*3.6/1000000/'E Balans VL '!Z9*100)</f>
        <v>8.5140662981026363E-2</v>
      </c>
      <c r="D27" s="237" t="s">
        <v>692</v>
      </c>
      <c r="F27" s="6"/>
    </row>
    <row r="28" spans="1:18">
      <c r="A28" s="171" t="s">
        <v>52</v>
      </c>
      <c r="B28" s="33">
        <f>IF(ISERROR(TER_handel_ele_kWh/1000),0,TER_handel_ele_kWh/1000)</f>
        <v>3783.9054160000001</v>
      </c>
      <c r="C28" s="39">
        <f>IF(ISERROR(B28*3.6/1000000/'E Balans VL '!Z13*100),0,B28*3.6/1000000/'E Balans VL '!Z13*100)</f>
        <v>0.11188743965929213</v>
      </c>
      <c r="D28" s="237" t="s">
        <v>692</v>
      </c>
      <c r="F28" s="6"/>
    </row>
    <row r="29" spans="1:18">
      <c r="A29" s="231" t="s">
        <v>51</v>
      </c>
      <c r="B29" s="33">
        <f>IF(ISERROR(TER_gezond_ele_kWh/1000),0,TER_gezond_ele_kWh/1000)</f>
        <v>577.98800000000006</v>
      </c>
      <c r="C29" s="39">
        <f>IF(ISERROR(B29*3.6/1000000/'E Balans VL '!Z10*100),0,B29*3.6/1000000/'E Balans VL '!Z10*100)</f>
        <v>6.512432526524714E-2</v>
      </c>
      <c r="D29" s="237" t="s">
        <v>692</v>
      </c>
      <c r="F29" s="6"/>
    </row>
    <row r="30" spans="1:18">
      <c r="A30" s="231" t="s">
        <v>50</v>
      </c>
      <c r="B30" s="33">
        <f>IF(ISERROR(TER_ander_ele_kWh/1000),0,TER_ander_ele_kWh/1000)</f>
        <v>1091.385</v>
      </c>
      <c r="C30" s="39">
        <f>IF(ISERROR(B30*3.6/1000000/'E Balans VL '!Z14*100),0,B30*3.6/1000000/'E Balans VL '!Z14*100)</f>
        <v>8.2539581911613494E-2</v>
      </c>
      <c r="D30" s="237" t="s">
        <v>692</v>
      </c>
      <c r="F30" s="6"/>
    </row>
    <row r="31" spans="1:18">
      <c r="A31" s="231" t="s">
        <v>55</v>
      </c>
      <c r="B31" s="33">
        <f>IF(ISERROR(TER_onderwijs_ele_kWh/1000),0,TER_onderwijs_ele_kWh/1000)</f>
        <v>118.447</v>
      </c>
      <c r="C31" s="39">
        <f>IF(ISERROR(B31*3.6/1000000/'E Balans VL '!Z11*100),0,B31*3.6/1000000/'E Balans VL '!Z11*100)</f>
        <v>2.4586847570937743E-2</v>
      </c>
      <c r="D31" s="237" t="s">
        <v>692</v>
      </c>
    </row>
    <row r="32" spans="1:18">
      <c r="A32" s="231" t="s">
        <v>260</v>
      </c>
      <c r="B32" s="33">
        <f>IF(ISERROR(TER_rest_ele_kWh/1000),0,TER_rest_ele_kWh/1000)</f>
        <v>0</v>
      </c>
      <c r="C32" s="39">
        <f>IF(ISERROR(B32*3.6/1000000/'E Balans VL '!Z8*100),0,B32*3.6/1000000/'E Balans VL '!Z8*100)</f>
        <v>0</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2</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38586.775000000001</v>
      </c>
      <c r="C5" s="17">
        <f>IF(ISERROR('Eigen informatie GS &amp; warmtenet'!B59),0,'Eigen informatie GS &amp; warmtenet'!B59)</f>
        <v>0</v>
      </c>
      <c r="D5" s="30">
        <f>SUM(D6:D15)</f>
        <v>42565.890531999998</v>
      </c>
      <c r="E5" s="17">
        <f>SUM(E6:E15)</f>
        <v>7533.4856339376938</v>
      </c>
      <c r="F5" s="17">
        <f>SUM(F6:F15)</f>
        <v>42174.370544828322</v>
      </c>
      <c r="G5" s="18"/>
      <c r="H5" s="17"/>
      <c r="I5" s="17"/>
      <c r="J5" s="17">
        <f>SUM(J6:J15)</f>
        <v>264.23680948158244</v>
      </c>
      <c r="K5" s="17"/>
      <c r="L5" s="17"/>
      <c r="M5" s="17"/>
      <c r="N5" s="17">
        <f>SUM(N6:N15)</f>
        <v>14551.817549382169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293.94200000000001</v>
      </c>
      <c r="C8" s="33"/>
      <c r="D8" s="37">
        <f>IF( ISERROR(IND_metaal_Gas_kWH/1000),0,IND_metaal_Gas_kWH/1000)*0.902</f>
        <v>201.62045200000003</v>
      </c>
      <c r="E8" s="33">
        <f>C30*'E Balans VL '!I18/100/3.6*1000000</f>
        <v>7.356339485040067</v>
      </c>
      <c r="F8" s="33">
        <f>C30*'E Balans VL '!L18/100/3.6*1000000+C30*'E Balans VL '!N18/100/3.6*1000000</f>
        <v>92.122884942703038</v>
      </c>
      <c r="G8" s="34"/>
      <c r="H8" s="33"/>
      <c r="I8" s="33"/>
      <c r="J8" s="40">
        <f>C30*'E Balans VL '!D18/100/3.6*1000000+C30*'E Balans VL '!E18/100/3.6*1000000</f>
        <v>0</v>
      </c>
      <c r="K8" s="33"/>
      <c r="L8" s="33"/>
      <c r="M8" s="33"/>
      <c r="N8" s="33">
        <f>C30*'E Balans VL '!Y18/100/3.6*1000000</f>
        <v>7.3845858860106848</v>
      </c>
      <c r="O8" s="33"/>
      <c r="P8" s="33"/>
      <c r="R8" s="32"/>
    </row>
    <row r="9" spans="1:18">
      <c r="A9" s="6" t="s">
        <v>33</v>
      </c>
      <c r="B9" s="37">
        <f t="shared" si="0"/>
        <v>26951.25</v>
      </c>
      <c r="C9" s="33"/>
      <c r="D9" s="37">
        <f>IF( ISERROR(IND_andere_gas_kWh/1000),0,IND_andere_gas_kWh/1000)*0.902</f>
        <v>15092.804297999999</v>
      </c>
      <c r="E9" s="33">
        <f>C31*'E Balans VL '!I19/100/3.6*1000000</f>
        <v>7410.488342982916</v>
      </c>
      <c r="F9" s="33">
        <f>C31*'E Balans VL '!L19/100/3.6*1000000+C31*'E Balans VL '!N19/100/3.6*1000000</f>
        <v>21242.274854221967</v>
      </c>
      <c r="G9" s="34"/>
      <c r="H9" s="33"/>
      <c r="I9" s="33"/>
      <c r="J9" s="40">
        <f>C31*'E Balans VL '!D19/100/3.6*1000000+C31*'E Balans VL '!E19/100/3.6*1000000</f>
        <v>0</v>
      </c>
      <c r="K9" s="33"/>
      <c r="L9" s="33"/>
      <c r="M9" s="33"/>
      <c r="N9" s="33">
        <f>C31*'E Balans VL '!Y19/100/3.6*1000000</f>
        <v>8724.8310189559434</v>
      </c>
      <c r="O9" s="33"/>
      <c r="P9" s="33"/>
      <c r="R9" s="32"/>
    </row>
    <row r="10" spans="1:18">
      <c r="A10" s="6" t="s">
        <v>41</v>
      </c>
      <c r="B10" s="37">
        <f t="shared" si="0"/>
        <v>11021.2</v>
      </c>
      <c r="C10" s="33"/>
      <c r="D10" s="37">
        <f>IF( ISERROR(IND_voed_gas_kWh/1000),0,IND_voed_gas_kWh/1000)*0.902</f>
        <v>26913.635166</v>
      </c>
      <c r="E10" s="33">
        <f>C32*'E Balans VL '!I20/100/3.6*1000000</f>
        <v>112.35506238627524</v>
      </c>
      <c r="F10" s="33">
        <f>C32*'E Balans VL '!L20/100/3.6*1000000+C32*'E Balans VL '!N20/100/3.6*1000000</f>
        <v>20818.977869047976</v>
      </c>
      <c r="G10" s="34"/>
      <c r="H10" s="33"/>
      <c r="I10" s="33"/>
      <c r="J10" s="40">
        <f>C32*'E Balans VL '!D20/100/3.6*1000000+C32*'E Balans VL '!E20/100/3.6*1000000</f>
        <v>263.77337752966491</v>
      </c>
      <c r="K10" s="33"/>
      <c r="L10" s="33"/>
      <c r="M10" s="33"/>
      <c r="N10" s="33">
        <f>C32*'E Balans VL '!Y20/100/3.6*1000000</f>
        <v>5809.4418865710304</v>
      </c>
      <c r="O10" s="33"/>
      <c r="P10" s="33"/>
      <c r="R10" s="32"/>
    </row>
    <row r="11" spans="1:18">
      <c r="A11" s="6" t="s">
        <v>40</v>
      </c>
      <c r="B11" s="37">
        <f t="shared" si="0"/>
        <v>97.792000000000002</v>
      </c>
      <c r="C11" s="33"/>
      <c r="D11" s="37">
        <f>IF( ISERROR(IND_textiel_gas_kWh/1000),0,IND_textiel_gas_kWh/1000)*0.902</f>
        <v>89.390906000000001</v>
      </c>
      <c r="E11" s="33">
        <f>C33*'E Balans VL '!I21/100/3.6*1000000</f>
        <v>0.25919664155799854</v>
      </c>
      <c r="F11" s="33">
        <f>C33*'E Balans VL '!L21/100/3.6*1000000+C33*'E Balans VL '!N21/100/3.6*1000000</f>
        <v>4.3674915999597204</v>
      </c>
      <c r="G11" s="34"/>
      <c r="H11" s="33"/>
      <c r="I11" s="33"/>
      <c r="J11" s="40">
        <f>C33*'E Balans VL '!D21/100/3.6*1000000+C33*'E Balans VL '!E21/100/3.6*1000000</f>
        <v>0</v>
      </c>
      <c r="K11" s="33"/>
      <c r="L11" s="33"/>
      <c r="M11" s="33"/>
      <c r="N11" s="33">
        <f>C33*'E Balans VL '!Y21/100/3.6*1000000</f>
        <v>0.92161969416031397</v>
      </c>
      <c r="O11" s="33"/>
      <c r="P11" s="33"/>
      <c r="R11" s="32"/>
    </row>
    <row r="12" spans="1:18">
      <c r="A12" s="6" t="s">
        <v>37</v>
      </c>
      <c r="B12" s="37">
        <f t="shared" si="0"/>
        <v>173.42</v>
      </c>
      <c r="C12" s="33"/>
      <c r="D12" s="37">
        <f>IF( ISERROR(IND_min_gas_kWh/1000),0,IND_min_gas_kWh/1000)*0.902</f>
        <v>0</v>
      </c>
      <c r="E12" s="33">
        <f>C34*'E Balans VL '!I22/100/3.6*1000000</f>
        <v>0.52521073295438159</v>
      </c>
      <c r="F12" s="33">
        <f>C34*'E Balans VL '!L22/100/3.6*1000000+C34*'E Balans VL '!N22/100/3.6*1000000</f>
        <v>5.419524095435329</v>
      </c>
      <c r="G12" s="34"/>
      <c r="H12" s="33"/>
      <c r="I12" s="33"/>
      <c r="J12" s="40">
        <f>C34*'E Balans VL '!D22/100/3.6*1000000+C34*'E Balans VL '!E22/100/3.6*1000000</f>
        <v>0.2571433627437264</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49.170999999999999</v>
      </c>
      <c r="C15" s="33"/>
      <c r="D15" s="37">
        <f>IF( ISERROR(IND_rest_gas_kWh/1000),0,IND_rest_gas_kWh/1000)*0.902</f>
        <v>268.43971000000005</v>
      </c>
      <c r="E15" s="33">
        <f>C37*'E Balans VL '!I15/100/3.6*1000000</f>
        <v>2.5014817089497572</v>
      </c>
      <c r="F15" s="33">
        <f>C37*'E Balans VL '!L15/100/3.6*1000000+C37*'E Balans VL '!N15/100/3.6*1000000</f>
        <v>11.20792092027987</v>
      </c>
      <c r="G15" s="34"/>
      <c r="H15" s="33"/>
      <c r="I15" s="33"/>
      <c r="J15" s="40">
        <f>C37*'E Balans VL '!D15/100/3.6*1000000+C37*'E Balans VL '!E15/100/3.6*1000000</f>
        <v>0.20628858917381915</v>
      </c>
      <c r="K15" s="33"/>
      <c r="L15" s="33"/>
      <c r="M15" s="33"/>
      <c r="N15" s="33">
        <f>C37*'E Balans VL '!Y15/100/3.6*1000000</f>
        <v>9.2384382750242633</v>
      </c>
      <c r="O15" s="33"/>
      <c r="P15" s="33"/>
      <c r="R15" s="32"/>
    </row>
    <row r="16" spans="1:18">
      <c r="A16" s="16" t="s">
        <v>494</v>
      </c>
      <c r="B16" s="247">
        <f>'lokale energieproductie'!N89+'lokale energieproductie'!N58</f>
        <v>1125</v>
      </c>
      <c r="C16" s="247">
        <f>'lokale energieproductie'!O89+'lokale energieproductie'!O58</f>
        <v>1607.1428571428571</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-3214.2857142857147</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39711.775000000001</v>
      </c>
      <c r="C18" s="21">
        <f>C5+C16</f>
        <v>1607.1428571428571</v>
      </c>
      <c r="D18" s="21">
        <f>MAX((D5+D16),0)</f>
        <v>42565.890531999998</v>
      </c>
      <c r="E18" s="21">
        <f>MAX((E5+E16),0)</f>
        <v>7533.4856339376938</v>
      </c>
      <c r="F18" s="21">
        <f>MAX((F5+F16),0)</f>
        <v>42174.370544828322</v>
      </c>
      <c r="G18" s="21"/>
      <c r="H18" s="21"/>
      <c r="I18" s="21"/>
      <c r="J18" s="21">
        <f>MAX((J5+J16),0)</f>
        <v>264.23680948158244</v>
      </c>
      <c r="K18" s="21"/>
      <c r="L18" s="21">
        <f>MAX((L5+L16),0)</f>
        <v>0</v>
      </c>
      <c r="M18" s="21"/>
      <c r="N18" s="21">
        <f>MAX((N5+N16),0)</f>
        <v>11337.531835096455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0.19703014040417055</v>
      </c>
      <c r="C20" s="25">
        <f ca="1">'EF ele_warmte'!B22</f>
        <v>8.0807346122374769E-3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7824.41660394883</v>
      </c>
      <c r="C22" s="23">
        <f ca="1">C18*C20</f>
        <v>12.986894912524516</v>
      </c>
      <c r="D22" s="23">
        <f>D18*D20</f>
        <v>8598.309887464</v>
      </c>
      <c r="E22" s="23">
        <f>E18*E20</f>
        <v>1710.1012389038565</v>
      </c>
      <c r="F22" s="23">
        <f>F18*F20</f>
        <v>11260.556935469163</v>
      </c>
      <c r="G22" s="23"/>
      <c r="H22" s="23"/>
      <c r="I22" s="23"/>
      <c r="J22" s="23">
        <f>J18*J20</f>
        <v>93.539830556480183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293.94200000000001</v>
      </c>
      <c r="C30" s="39">
        <f>IF(ISERROR(B30*3.6/1000000/'E Balans VL '!Z18*100),0,B30*3.6/1000000/'E Balans VL '!Z18*100)</f>
        <v>4.1142084274633631E-2</v>
      </c>
      <c r="D30" s="237" t="s">
        <v>692</v>
      </c>
    </row>
    <row r="31" spans="1:18">
      <c r="A31" s="6" t="s">
        <v>33</v>
      </c>
      <c r="B31" s="37">
        <f>IF( ISERROR(IND_ander_ele_kWh/1000),0,IND_ander_ele_kWh/1000)</f>
        <v>26951.25</v>
      </c>
      <c r="C31" s="39">
        <f>IF(ISERROR(B31*3.6/1000000/'E Balans VL '!Z19*100),0,B31*3.6/1000000/'E Balans VL '!Z19*100)</f>
        <v>1.1796518403860847</v>
      </c>
      <c r="D31" s="237" t="s">
        <v>692</v>
      </c>
    </row>
    <row r="32" spans="1:18">
      <c r="A32" s="171" t="s">
        <v>41</v>
      </c>
      <c r="B32" s="37">
        <f>IF( ISERROR(IND_voed_ele_kWh/1000),0,IND_voed_ele_kWh/1000)</f>
        <v>11021.2</v>
      </c>
      <c r="C32" s="39">
        <f>IF(ISERROR(B32*3.6/1000000/'E Balans VL '!Z20*100),0,B32*3.6/1000000/'E Balans VL '!Z20*100)</f>
        <v>2.7284831240009288</v>
      </c>
      <c r="D32" s="237" t="s">
        <v>692</v>
      </c>
    </row>
    <row r="33" spans="1:5">
      <c r="A33" s="171" t="s">
        <v>40</v>
      </c>
      <c r="B33" s="37">
        <f>IF( ISERROR(IND_textiel_ele_kWh/1000),0,IND_textiel_ele_kWh/1000)</f>
        <v>97.792000000000002</v>
      </c>
      <c r="C33" s="39">
        <f>IF(ISERROR(B33*3.6/1000000/'E Balans VL '!Z21*100),0,B33*3.6/1000000/'E Balans VL '!Z21*100)</f>
        <v>1.1019435778049447E-2</v>
      </c>
      <c r="D33" s="237" t="s">
        <v>692</v>
      </c>
    </row>
    <row r="34" spans="1:5">
      <c r="A34" s="171" t="s">
        <v>37</v>
      </c>
      <c r="B34" s="37">
        <f>IF( ISERROR(IND_min_ele_kWh/1000),0,IND_min_ele_kWh/1000)</f>
        <v>173.42</v>
      </c>
      <c r="C34" s="39">
        <f>IF(ISERROR(B34*3.6/1000000/'E Balans VL '!Z22*100),0,B34*3.6/1000000/'E Balans VL '!Z22*100)</f>
        <v>4.9209520844250391E-3</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49.170999999999999</v>
      </c>
      <c r="C37" s="39">
        <f>IF(ISERROR(B37*3.6/1000000/'E Balans VL '!Z15*100),0,B37*3.6/1000000/'E Balans VL '!Z15*100)</f>
        <v>3.6459454656856193E-4</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2568.7028643216081</v>
      </c>
      <c r="C5" s="17">
        <f>'Eigen informatie GS &amp; warmtenet'!B60</f>
        <v>0</v>
      </c>
      <c r="D5" s="30">
        <f>IF(ISERROR(SUM(LB_lb_gas_kWh,LB_rest_gas_kWh,onbekend_gas_kWh)/1000),0,SUM(LB_lb_gas_kWh,LB_rest_gas_kWh,onbekend_gas_kWh)/1000)*0.902</f>
        <v>160.22045599999998</v>
      </c>
      <c r="E5" s="17">
        <f>B17*'E Balans VL '!I25/3.6*1000000/100</f>
        <v>23.792401801002505</v>
      </c>
      <c r="F5" s="17">
        <f>B17*('E Balans VL '!L25/3.6*1000000+'E Balans VL '!N25/3.6*1000000)/100</f>
        <v>6517.2885041774061</v>
      </c>
      <c r="G5" s="18"/>
      <c r="H5" s="17"/>
      <c r="I5" s="17"/>
      <c r="J5" s="17">
        <f>('E Balans VL '!D25+'E Balans VL '!E25)/3.6*1000000*landbouw!B17/100</f>
        <v>393.81081590813517</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2568.7028643216081</v>
      </c>
      <c r="C8" s="21">
        <f>C5+C6</f>
        <v>0</v>
      </c>
      <c r="D8" s="21">
        <f>MAX((D5+D6),0)</f>
        <v>160.22045599999998</v>
      </c>
      <c r="E8" s="21">
        <f>MAX((E5+E6),0)</f>
        <v>23.792401801002505</v>
      </c>
      <c r="F8" s="21">
        <f>MAX((F5+F6),0)</f>
        <v>6517.2885041774061</v>
      </c>
      <c r="G8" s="21"/>
      <c r="H8" s="21"/>
      <c r="I8" s="21"/>
      <c r="J8" s="21">
        <f>MAX((J5+J6),0)</f>
        <v>393.81081590813517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0.19703014040417055</v>
      </c>
      <c r="C10" s="31">
        <f ca="1">'EF ele_warmte'!B22</f>
        <v>8.0807346122374769E-3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506.11188601388147</v>
      </c>
      <c r="C12" s="23">
        <f ca="1">C8*C10</f>
        <v>0</v>
      </c>
      <c r="D12" s="23">
        <f>D8*D10</f>
        <v>32.364532111999999</v>
      </c>
      <c r="E12" s="23">
        <f>E8*E10</f>
        <v>5.4008752088275687</v>
      </c>
      <c r="F12" s="23">
        <f>F8*F10</f>
        <v>1740.1160306153674</v>
      </c>
      <c r="G12" s="23"/>
      <c r="H12" s="23"/>
      <c r="I12" s="23"/>
      <c r="J12" s="23">
        <f>J8*J10</f>
        <v>139.40902883147984</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0.36521508139142633</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168.43067586499475</v>
      </c>
      <c r="C26" s="247">
        <f>B26*'GWP N2O_CH4'!B5</f>
        <v>3537.0441931648897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39.972046623775476</v>
      </c>
      <c r="C27" s="247">
        <f>B27*'GWP N2O_CH4'!B5</f>
        <v>839.41297909928505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2.3152357768726577</v>
      </c>
      <c r="C28" s="247">
        <f>B28*'GWP N2O_CH4'!B4</f>
        <v>717.72309083052392</v>
      </c>
      <c r="D28" s="50"/>
    </row>
    <row r="29" spans="1:4">
      <c r="A29" s="41" t="s">
        <v>277</v>
      </c>
      <c r="B29" s="247">
        <f>B34*'ha_N2O bodem landbouw'!B4</f>
        <v>9.2412228580347726</v>
      </c>
      <c r="C29" s="247">
        <f>B29*'GWP N2O_CH4'!B4</f>
        <v>2864.7790859907795</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2.0726434815659446E-3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4.0812087791145232E-5</v>
      </c>
      <c r="C5" s="464" t="s">
        <v>211</v>
      </c>
      <c r="D5" s="449">
        <f>SUM(D6:D11)</f>
        <v>1.0669969261762504E-4</v>
      </c>
      <c r="E5" s="449">
        <f>SUM(E6:E11)</f>
        <v>6.8055901808839402E-4</v>
      </c>
      <c r="F5" s="462" t="s">
        <v>211</v>
      </c>
      <c r="G5" s="449">
        <f>SUM(G6:G11)</f>
        <v>0.1963166821433113</v>
      </c>
      <c r="H5" s="449">
        <f>SUM(H6:H11)</f>
        <v>4.0346989755501578E-2</v>
      </c>
      <c r="I5" s="464" t="s">
        <v>211</v>
      </c>
      <c r="J5" s="464" t="s">
        <v>211</v>
      </c>
      <c r="K5" s="464" t="s">
        <v>211</v>
      </c>
      <c r="L5" s="464" t="s">
        <v>211</v>
      </c>
      <c r="M5" s="449">
        <f>SUM(M6:M11)</f>
        <v>1.2598061934643506E-2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3.3896390635055677E-5</v>
      </c>
      <c r="C6" s="450"/>
      <c r="D6" s="963">
        <f>vkm_2011_GW_PW*SUMIFS(TableVerdeelsleutelVkm[CNG],TableVerdeelsleutelVkm[Voertuigtype],"Lichte voertuigen")*SUMIFS(TableECFTransport[EnergieConsumptieFactor (PJ per km)],TableECFTransport[Index],CONCATENATE($A6,"_CNG_CNG"))</f>
        <v>7.8406083376902463E-5</v>
      </c>
      <c r="E6" s="963">
        <f>vkm_2011_GW_PW*SUMIFS(TableVerdeelsleutelVkm[LPG],TableVerdeelsleutelVkm[Voertuigtype],"Lichte voertuigen")*SUMIFS(TableECFTransport[EnergieConsumptieFactor (PJ per km)],TableECFTransport[Index],CONCATENATE($A6,"_LPG_LPG"))</f>
        <v>5.1053306684289068E-4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0.10605946757518318</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2.9895972125062082E-2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7.0553825367150247E-3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5.5079390328013532E-2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1.8836151203856555E-5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3.1866549346282044E-3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6.9156971560895517E-6</v>
      </c>
      <c r="C8" s="450"/>
      <c r="D8" s="452">
        <f>vkm_2011_NGW_PW*SUMIFS(TableVerdeelsleutelVkm[CNG],TableVerdeelsleutelVkm[Voertuigtype],"Lichte voertuigen")*SUMIFS(TableECFTransport[EnergieConsumptieFactor (PJ per km)],TableECFTransport[Index],CONCATENATE($A8,"_CNG_CNG"))</f>
        <v>2.8293609240722577E-5</v>
      </c>
      <c r="E8" s="452">
        <f>vkm_2011_NGW_PW*SUMIFS(TableVerdeelsleutelVkm[LPG],TableVerdeelsleutelVkm[Voertuigtype],"Lichte voertuigen")*SUMIFS(TableECFTransport[EnergieConsumptieFactor (PJ per km)],TableECFTransport[Index],CONCATENATE($A8,"_LPG_LPG"))</f>
        <v>1.7002595124550335E-4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3.3018789952783609E-2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1.0431482840890169E-2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2.2311133143692752E-3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2.1590342873309665E-3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6.9863834547057809E-7</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1.2491114893100144E-4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11.336691053095898</v>
      </c>
      <c r="C14" s="21"/>
      <c r="D14" s="21">
        <f t="shared" ref="D14:M14" si="0">((D5)*10^9/3600)+D12</f>
        <v>29.638803504895844</v>
      </c>
      <c r="E14" s="21">
        <f t="shared" si="0"/>
        <v>189.04417169122058</v>
      </c>
      <c r="F14" s="21"/>
      <c r="G14" s="21">
        <f t="shared" si="0"/>
        <v>54532.411706475359</v>
      </c>
      <c r="H14" s="21">
        <f t="shared" si="0"/>
        <v>11207.497154305993</v>
      </c>
      <c r="I14" s="21"/>
      <c r="J14" s="21"/>
      <c r="K14" s="21"/>
      <c r="L14" s="21"/>
      <c r="M14" s="21">
        <f t="shared" si="0"/>
        <v>3499.4616485120846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0.19703014040417055</v>
      </c>
      <c r="C16" s="56">
        <f ca="1">'EF ele_warmte'!B22</f>
        <v>8.0807346122374769E-3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2.2336698299101889</v>
      </c>
      <c r="C18" s="23"/>
      <c r="D18" s="23">
        <f t="shared" ref="D18:M18" si="1">D14*D16</f>
        <v>5.9870383079889606</v>
      </c>
      <c r="E18" s="23">
        <f t="shared" si="1"/>
        <v>42.913026973907073</v>
      </c>
      <c r="F18" s="23"/>
      <c r="G18" s="23">
        <f t="shared" si="1"/>
        <v>14560.153925628922</v>
      </c>
      <c r="H18" s="23">
        <f t="shared" si="1"/>
        <v>2790.6667914221921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2.7078139508241953E-3</v>
      </c>
      <c r="H50" s="321">
        <f t="shared" si="2"/>
        <v>0</v>
      </c>
      <c r="I50" s="321">
        <f t="shared" si="2"/>
        <v>0</v>
      </c>
      <c r="J50" s="321">
        <f t="shared" si="2"/>
        <v>0</v>
      </c>
      <c r="K50" s="321">
        <f t="shared" si="2"/>
        <v>0</v>
      </c>
      <c r="L50" s="321">
        <f t="shared" si="2"/>
        <v>0</v>
      </c>
      <c r="M50" s="321">
        <f t="shared" si="2"/>
        <v>1.5441873591142129E-4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2.7078139508241953E-3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1.5441873591142129E-4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752.17054189560986</v>
      </c>
      <c r="H54" s="21">
        <f t="shared" si="3"/>
        <v>0</v>
      </c>
      <c r="I54" s="21">
        <f t="shared" si="3"/>
        <v>0</v>
      </c>
      <c r="J54" s="21">
        <f t="shared" si="3"/>
        <v>0</v>
      </c>
      <c r="K54" s="21">
        <f t="shared" si="3"/>
        <v>0</v>
      </c>
      <c r="L54" s="21">
        <f t="shared" si="3"/>
        <v>0</v>
      </c>
      <c r="M54" s="21">
        <f t="shared" si="3"/>
        <v>42.894093308728138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0.19703014040417055</v>
      </c>
      <c r="C56" s="56">
        <f ca="1">'EF ele_warmte'!B22</f>
        <v>8.0807346122374769E-3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200.82953468612786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6824.5534660707399</v>
      </c>
      <c r="C6" s="1216"/>
      <c r="D6" s="1201"/>
      <c r="E6" s="1201"/>
      <c r="F6" s="1219"/>
      <c r="G6" s="1222"/>
      <c r="H6" s="1213"/>
      <c r="I6" s="1201"/>
      <c r="J6" s="1201"/>
      <c r="K6" s="1201"/>
      <c r="L6" s="1205"/>
      <c r="M6" s="576"/>
      <c r="N6" s="1179"/>
      <c r="O6" s="1180"/>
      <c r="Q6" s="574"/>
      <c r="R6" s="1167"/>
      <c r="S6" s="1167"/>
    </row>
    <row r="7" spans="1:19" s="564" customFormat="1">
      <c r="A7" s="577" t="s">
        <v>252</v>
      </c>
      <c r="B7" s="578">
        <f>N57</f>
        <v>1164.5999999999999</v>
      </c>
      <c r="C7" s="579">
        <f>B100</f>
        <v>46.588235294117652</v>
      </c>
      <c r="D7" s="580"/>
      <c r="E7" s="580">
        <f>E100</f>
        <v>0</v>
      </c>
      <c r="F7" s="581"/>
      <c r="G7" s="582"/>
      <c r="H7" s="580">
        <f>I100</f>
        <v>0</v>
      </c>
      <c r="I7" s="580">
        <f>G100+F100</f>
        <v>0</v>
      </c>
      <c r="J7" s="580">
        <f>H100+D100+C100</f>
        <v>1323.5294117647061</v>
      </c>
      <c r="K7" s="580"/>
      <c r="L7" s="583"/>
      <c r="M7" s="584">
        <f>C7*$C$11+D7*$D$11+E7*$E$11+F7*$F$11+G7*$G$11+H7*$H$11+I7*$I$11+J7*$J$11</f>
        <v>9.4108235294117666</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7989.1534660707403</v>
      </c>
      <c r="C9" s="595">
        <f t="shared" ref="C9:L9" si="0">SUM(C7:C8)</f>
        <v>46.588235294117652</v>
      </c>
      <c r="D9" s="595">
        <f t="shared" si="0"/>
        <v>0</v>
      </c>
      <c r="E9" s="595">
        <f t="shared" si="0"/>
        <v>0</v>
      </c>
      <c r="F9" s="595">
        <f t="shared" si="0"/>
        <v>0</v>
      </c>
      <c r="G9" s="595">
        <f t="shared" si="0"/>
        <v>0</v>
      </c>
      <c r="H9" s="595">
        <f t="shared" si="0"/>
        <v>0</v>
      </c>
      <c r="I9" s="595">
        <f t="shared" si="0"/>
        <v>0</v>
      </c>
      <c r="J9" s="595">
        <f t="shared" si="0"/>
        <v>1323.5294117647061</v>
      </c>
      <c r="K9" s="595">
        <f t="shared" si="0"/>
        <v>0</v>
      </c>
      <c r="L9" s="595">
        <f t="shared" si="0"/>
        <v>0</v>
      </c>
      <c r="M9" s="596">
        <f>SUM(M4:M8)</f>
        <v>9.4108235294117666</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1663.7142857142858</v>
      </c>
      <c r="C16" s="611">
        <f>B101</f>
        <v>66.554621848739501</v>
      </c>
      <c r="D16" s="612"/>
      <c r="E16" s="612">
        <f>E101</f>
        <v>0</v>
      </c>
      <c r="F16" s="613"/>
      <c r="G16" s="614"/>
      <c r="H16" s="611">
        <f>I101</f>
        <v>0</v>
      </c>
      <c r="I16" s="612">
        <f>G101+F101</f>
        <v>0</v>
      </c>
      <c r="J16" s="612">
        <f>H101+D101+C101</f>
        <v>1890.7563025210086</v>
      </c>
      <c r="K16" s="612"/>
      <c r="L16" s="615"/>
      <c r="M16" s="616">
        <f>C16*$C$21+E16*$E$21+H16*$H$21+I16*$I$21+J16*$J$21+D16*$D$21+F16*$F$21+G16*$G$21+K16*$K$21+L16*$L$21</f>
        <v>13.444033613445381</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1663.7142857142858</v>
      </c>
      <c r="C19" s="594">
        <f>SUM(C16:C18)</f>
        <v>66.554621848739501</v>
      </c>
      <c r="D19" s="594">
        <f t="shared" ref="D19:M19" si="1">SUM(D16:D18)</f>
        <v>0</v>
      </c>
      <c r="E19" s="594">
        <f t="shared" si="1"/>
        <v>0</v>
      </c>
      <c r="F19" s="594">
        <f t="shared" si="1"/>
        <v>0</v>
      </c>
      <c r="G19" s="594">
        <f t="shared" si="1"/>
        <v>0</v>
      </c>
      <c r="H19" s="594">
        <f t="shared" si="1"/>
        <v>0</v>
      </c>
      <c r="I19" s="594">
        <f t="shared" si="1"/>
        <v>0</v>
      </c>
      <c r="J19" s="594">
        <f t="shared" si="1"/>
        <v>1890.7563025210086</v>
      </c>
      <c r="K19" s="594">
        <f t="shared" si="1"/>
        <v>0</v>
      </c>
      <c r="L19" s="594">
        <f t="shared" si="1"/>
        <v>0</v>
      </c>
      <c r="M19" s="621">
        <f t="shared" si="1"/>
        <v>13.444033613445381</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38.25">
      <c r="A27" s="625"/>
      <c r="B27" s="852">
        <v>73001</v>
      </c>
      <c r="C27" s="852">
        <v>3570</v>
      </c>
      <c r="D27" s="673" t="s">
        <v>834</v>
      </c>
      <c r="E27" s="672" t="s">
        <v>835</v>
      </c>
      <c r="F27" s="672" t="s">
        <v>836</v>
      </c>
      <c r="G27" s="672" t="s">
        <v>837</v>
      </c>
      <c r="H27" s="672" t="s">
        <v>838</v>
      </c>
      <c r="I27" s="672" t="s">
        <v>839</v>
      </c>
      <c r="J27" s="851">
        <v>40284</v>
      </c>
      <c r="K27" s="851">
        <v>40284</v>
      </c>
      <c r="L27" s="672" t="s">
        <v>840</v>
      </c>
      <c r="M27" s="672">
        <v>250</v>
      </c>
      <c r="N27" s="672">
        <v>1125</v>
      </c>
      <c r="O27" s="672">
        <v>1607.1428571428571</v>
      </c>
      <c r="P27" s="672">
        <v>0</v>
      </c>
      <c r="Q27" s="672">
        <v>3214.2857142857147</v>
      </c>
      <c r="R27" s="672">
        <v>0</v>
      </c>
      <c r="S27" s="672">
        <v>0</v>
      </c>
      <c r="T27" s="672">
        <v>0</v>
      </c>
      <c r="U27" s="672">
        <v>0</v>
      </c>
      <c r="V27" s="672">
        <v>0</v>
      </c>
      <c r="W27" s="672">
        <v>0</v>
      </c>
      <c r="X27" s="672">
        <v>500</v>
      </c>
      <c r="Y27" s="672" t="s">
        <v>41</v>
      </c>
      <c r="Z27" s="674" t="s">
        <v>389</v>
      </c>
    </row>
    <row r="28" spans="1:26" s="626" customFormat="1" ht="25.5">
      <c r="A28" s="625"/>
      <c r="B28" s="852">
        <v>73001</v>
      </c>
      <c r="C28" s="852">
        <v>3570</v>
      </c>
      <c r="D28" s="673" t="s">
        <v>841</v>
      </c>
      <c r="E28" s="672" t="s">
        <v>842</v>
      </c>
      <c r="F28" s="672" t="s">
        <v>843</v>
      </c>
      <c r="G28" s="672" t="s">
        <v>837</v>
      </c>
      <c r="H28" s="672" t="s">
        <v>838</v>
      </c>
      <c r="I28" s="672" t="s">
        <v>842</v>
      </c>
      <c r="J28" s="851">
        <v>40731</v>
      </c>
      <c r="K28" s="851">
        <v>41153</v>
      </c>
      <c r="L28" s="672" t="s">
        <v>840</v>
      </c>
      <c r="M28" s="672">
        <v>8.8000000000000007</v>
      </c>
      <c r="N28" s="672">
        <v>39.6</v>
      </c>
      <c r="O28" s="672">
        <v>56.571428571428577</v>
      </c>
      <c r="P28" s="672">
        <v>113.14285714285715</v>
      </c>
      <c r="Q28" s="672">
        <v>0</v>
      </c>
      <c r="R28" s="672">
        <v>0</v>
      </c>
      <c r="S28" s="672">
        <v>0</v>
      </c>
      <c r="T28" s="672">
        <v>0</v>
      </c>
      <c r="U28" s="672">
        <v>0</v>
      </c>
      <c r="V28" s="672">
        <v>0</v>
      </c>
      <c r="W28" s="672">
        <v>0</v>
      </c>
      <c r="X28" s="672">
        <v>1300</v>
      </c>
      <c r="Y28" s="672" t="s">
        <v>54</v>
      </c>
      <c r="Z28" s="674" t="s">
        <v>156</v>
      </c>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258.8</v>
      </c>
      <c r="N57" s="630">
        <f>SUM(N27:N56)</f>
        <v>1164.5999999999999</v>
      </c>
      <c r="O57" s="630">
        <f t="shared" ref="O57:W57" si="2">SUM(O27:O56)</f>
        <v>1663.7142857142858</v>
      </c>
      <c r="P57" s="630">
        <f t="shared" si="2"/>
        <v>113.14285714285715</v>
      </c>
      <c r="Q57" s="630">
        <f t="shared" si="2"/>
        <v>3214.2857142857147</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250</v>
      </c>
      <c r="N58" s="630">
        <f t="shared" ref="N58:W58" si="3">SUMIF($Z$27:$Z$56,"industrie",N27:N56)</f>
        <v>1125</v>
      </c>
      <c r="O58" s="630">
        <f t="shared" si="3"/>
        <v>1607.1428571428571</v>
      </c>
      <c r="P58" s="630">
        <f t="shared" si="3"/>
        <v>0</v>
      </c>
      <c r="Q58" s="630">
        <f t="shared" si="3"/>
        <v>3214.2857142857147</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8.8000000000000007</v>
      </c>
      <c r="N59" s="630">
        <f ca="1">SUMIF($Z$27:AB56,"tertiair",N27:N56)</f>
        <v>39.6</v>
      </c>
      <c r="O59" s="630">
        <f ca="1">SUMIF($Z$27:AC56,"tertiair",O27:O56)</f>
        <v>56.571428571428577</v>
      </c>
      <c r="P59" s="630">
        <f ca="1">SUMIF($Z$27:AD56,"tertiair",P27:P56)</f>
        <v>113.14285714285715</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0.58823529411764708</v>
      </c>
      <c r="C97" s="655">
        <f>IF(ISERROR(N57/(O57+N57)),0,N57/(N57+O57))</f>
        <v>0.41176470588235292</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46.588235294117652</v>
      </c>
      <c r="C100" s="664">
        <f t="shared" si="9"/>
        <v>1323.5294117647061</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66.554621848739501</v>
      </c>
      <c r="C101" s="667">
        <f t="shared" ref="C101:H101" si="10">$B$97*Q57</f>
        <v>1890.7563025210086</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2018-06-27T09:38:43Z</dcterms:modified>
</cp:coreProperties>
</file>