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N22" i="16"/>
  <c r="O39" i="14" s="1"/>
  <c r="O41" s="1"/>
  <c r="O53" s="1"/>
  <c r="F8" i="48"/>
  <c r="F14" s="1"/>
  <c r="E14"/>
  <c r="K15" i="14"/>
  <c r="K23" s="1"/>
  <c r="K55" s="1"/>
  <c r="H55"/>
  <c r="E55"/>
  <c r="C78"/>
  <c r="C81" s="1"/>
  <c r="J14" i="48"/>
  <c r="J31"/>
  <c r="Q8"/>
  <c r="Q14" s="1"/>
  <c r="R19" i="14"/>
  <c r="R20" s="1"/>
  <c r="H14" i="48"/>
  <c r="G31"/>
  <c r="H26"/>
  <c r="H31" s="1"/>
  <c r="F55" i="14"/>
  <c r="G53"/>
  <c r="G55" s="1"/>
  <c r="O69" s="1"/>
  <c r="B9" i="6" s="1"/>
  <c r="B12" s="1"/>
  <c r="M53" i="14"/>
  <c r="M55" s="1"/>
  <c r="C12" i="13"/>
  <c r="D37" i="14" s="1"/>
  <c r="D41" s="1"/>
  <c r="C23" i="48"/>
  <c r="C24"/>
  <c r="C27"/>
  <c r="C28"/>
  <c r="C25"/>
  <c r="C29"/>
  <c r="C21"/>
  <c r="C26"/>
  <c r="R13" i="14"/>
  <c r="R15" s="1"/>
  <c r="F25" i="48" l="1"/>
  <c r="F31" s="1"/>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<sst xmlns="http://schemas.openxmlformats.org/spreadsheetml/2006/main" count="1959" uniqueCount="840">
  <si>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</si>
  <si>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</si>
  <si>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</si>
  <si>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</si>
  <si>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</si>
  <si>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</si>
  <si>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</si>
  <si>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</si>
  <si>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</si>
  <si>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</si>
  <si>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</si>
  <si>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</si>
  <si>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</si>
  <si>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</si>
  <si>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</si>
  <si>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</si>
  <si>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</si>
  <si>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</si>
  <si>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</si>
  <si>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</si>
  <si>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</si>
  <si>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</si>
  <si>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</si>
  <si>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</si>
  <si>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</si>
  <si>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</si>
  <si>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</si>
  <si>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</si>
  <si>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</si>
  <si>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</si>
  <si>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</si>
  <si>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</si>
  <si>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</si>
  <si>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</si>
  <si>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</si>
  <si>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</si>
  <si>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</si>
  <si>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</si>
  <si>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</si>
  <si>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</si>
  <si>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</si>
  <si>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</si>
  <si>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</si>
  <si>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</si>
  <si>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</si>
  <si>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</si>
  <si>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</si>
  <si>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</si>
  <si>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</si>
  <si>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</si>
  <si>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</si>
  <si>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</si>
  <si>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</si>
  <si>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</si>
  <si>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</si>
  <si>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</si>
  <si>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</si>
  <si>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</si>
  <si>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</si>
  <si>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</si>
  <si>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</si>
  <si>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</si>
  <si>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</si>
  <si>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</si>
  <si>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</si>
  <si>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</si>
  <si>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</si>
  <si>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</si>
  <si>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</si>
  <si>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</si>
  <si>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</si>
  <si>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</si>
  <si>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</si>
  <si>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</si>
  <si>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</si>
  <si>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</si>
  <si>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</si>
  <si>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</si>
  <si>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</si>
  <si>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</si>
  <si>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</si>
  <si>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</si>
  <si>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</si>
  <si>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</si>
  <si>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</si>
  <si>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</si>
  <si>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</si>
  <si>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</si>
  <si>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</si>
  <si>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</si>
  <si>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</si>
  <si>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</si>
  <si>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</si>
  <si>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</si>
  <si>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</si>
  <si>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</si>
  <si>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</si>
  <si>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</si>
  <si>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</si>
  <si>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</si>
  <si>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</si>
  <si>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</si>
  <si>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</si>
  <si>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</si>
  <si>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</si>
  <si>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</si>
  <si>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</si>
  <si>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</si>
  <si>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</si>
  <si>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</si>
  <si>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</si>
  <si>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</si>
  <si>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</si>
  <si>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</si>
  <si>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</si>
  <si>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</si>
  <si>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</si>
  <si>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</si>
  <si>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</si>
  <si>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</si>
  <si>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</si>
  <si>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</si>
  <si>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</si>
  <si>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</si>
  <si>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</si>
  <si>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</si>
  <si>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</si>
  <si>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</si>
  <si>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</si>
  <si>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</si>
  <si>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</si>
  <si>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</si>
  <si>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</si>
  <si>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</si>
  <si>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</si>
  <si>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</si>
  <si>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</si>
  <si>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</si>
  <si>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</si>
  <si>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</si>
  <si>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</si>
  <si>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</si>
  <si>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</si>
  <si>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</si>
  <si>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</si>
  <si>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</si>
  <si>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</si>
  <si>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</si>
  <si>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</si>
  <si>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</si>
  <si>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</si>
  <si>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</si>
  <si>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</si>
  <si>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</si>
  <si>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</si>
  <si>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</si>
  <si>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</si>
  <si>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</si>
  <si>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</si>
  <si>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</si>
  <si>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</si>
  <si>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</si>
  <si>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</si>
  <si>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</si>
  <si>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</si>
  <si>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</si>
  <si>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</si>
  <si>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</si>
  <si>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</si>
  <si>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</si>
  <si>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</si>
  <si>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</si>
  <si>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</si>
  <si>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</si>
  <si>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</si>
  <si>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</si>
  <si>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</si>
  <si>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</si>
  <si>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</si>
  <si>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</si>
  <si>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</si>
  <si>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</si>
  <si>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</si>
  <si>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</si>
  <si>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</si>
  <si>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</si>
  <si>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</si>
  <si>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</si>
  <si>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</si>
  <si>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</si>
  <si>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</si>
  <si>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</si>
  <si>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</si>
  <si>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</si>
  <si>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</si>
  <si>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</si>
  <si>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</si>
  <si>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</si>
  <si>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</si>
  <si>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</si>
  <si>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</si>
  <si>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</si>
  <si>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</si>
  <si>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</si>
  <si>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</si>
  <si>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</si>
  <si>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</si>
  <si>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</si>
  <si>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</si>
  <si>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</si>
  <si>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</si>
  <si>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</si>
  <si>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</si>
  <si>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</si>
  <si>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</si>
  <si>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</si>
  <si>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</si>
  <si>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</si>
  <si>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</si>
  <si>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</si>
  <si>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</si>
  <si>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</si>
  <si>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</si>
  <si>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</si>
  <si>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</si>
  <si>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</si>
  <si>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</si>
  <si>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</si>
  <si>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</si>
  <si>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</si>
  <si>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</si>
  <si>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</si>
  <si>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</si>
  <si>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</si>
  <si>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</si>
  <si>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</si>
  <si>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</si>
  <si>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</si>
  <si>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</si>
  <si>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</si>
  <si>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</si>
  <si>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</si>
  <si>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</si>
  <si>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</si>
  <si>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</si>
  <si>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</si>
  <si>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</si>
  <si>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</si>
  <si>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</si>
  <si>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</si>
  <si>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</si>
  <si>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</si>
  <si>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</si>
  <si>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</si>
  <si>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</si>
  <si>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</si>
  <si>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</si>
  <si>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</si>
  <si>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</si>
  <si>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</si>
  <si>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</si>
  <si>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</si>
  <si>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</si>
  <si>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</si>
  <si>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</si>
  <si>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</si>
  <si>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</si>
  <si>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</si>
  <si>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</si>
  <si>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</si>
  <si>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</si>
  <si>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</si>
  <si>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</si>
  <si>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</si>
  <si>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</si>
  <si>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</si>
  <si>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</si>
  <si>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</si>
  <si>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</si>
  <si>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</si>
  <si>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</si>
  <si>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</si>
  <si>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</si>
  <si>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</si>
  <si>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</si>
  <si>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</si>
  <si>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</si>
  <si>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</si>
  <si>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</si>
  <si>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</si>
  <si>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</si>
  <si>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</si>
  <si>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</si>
  <si>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</si>
  <si>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</si>
  <si>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</si>
  <si>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</si>
  <si>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</si>
  <si>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</si>
  <si>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</si>
  <si>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</si>
  <si>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</si>
  <si>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</si>
  <si>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</si>
  <si>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</si>
  <si>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</si>
  <si>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</si>
  <si>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</si>
  <si>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</si>
  <si>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</si>
  <si>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</si>
  <si>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</si>
  <si>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</si>
  <si>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</si>
  <si>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</si>
  <si>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</si>
  <si>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</si>
  <si>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</si>
  <si>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</si>
  <si>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</si>
  <si>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</si>
  <si>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</si>
  <si>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</si>
  <si>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</si>
  <si>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</si>
  <si>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</si>
  <si>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</si>
  <si>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</si>
  <si>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</si>
  <si>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</si>
  <si>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</si>
  <si>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</si>
  <si>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</si>
  <si>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</si>
  <si>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</si>
  <si>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</si>
  <si>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</si>
  <si>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</si>
  <si>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</si>
  <si>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</si>
  <si>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</si>
  <si>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</si>
  <si>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</si>
  <si>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</si>
  <si>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</si>
  <si>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</si>
  <si>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</si>
  <si>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</si>
  <si>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</si>
  <si>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</si>
  <si>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</si>
  <si>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</si>
  <si>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</si>
  <si>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</si>
  <si>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</si>
  <si>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</si>
  <si>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</si>
  <si>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</si>
  <si>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</si>
  <si>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</si>
  <si>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</si>
  <si>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</si>
  <si>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</si>
  <si>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</si>
  <si>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</si>
  <si>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</si>
  <si>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</si>
  <si>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</si>
  <si>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</si>
  <si>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</si>
  <si>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</si>
  <si>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</si>
  <si>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</si>
  <si>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</si>
  <si>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</si>
  <si>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</si>
  <si>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</si>
  <si>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</si>
  <si>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</si>
  <si>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</si>
  <si>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</si>
  <si>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</si>
  <si>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</si>
  <si>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</si>
  <si>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</si>
  <si>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</si>
  <si>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</si>
  <si>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</si>
  <si>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</si>
  <si>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</si>
  <si>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</si>
  <si>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</si>
  <si>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</si>
  <si>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</si>
  <si>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</si>
  <si>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</si>
  <si>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</si>
  <si>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</si>
  <si>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</si>
  <si>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</si>
  <si>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</si>
  <si>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</si>
  <si>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</si>
  <si>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</si>
  <si>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</si>
  <si>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</si>
  <si>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</si>
  <si>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</si>
  <si>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</si>
  <si>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</si>
  <si>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</si>
  <si>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</si>
  <si>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</si>
  <si>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</si>
  <si>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</si>
  <si>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</si>
  <si>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</si>
  <si>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</si>
  <si>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</si>
  <si>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</si>
  <si>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</si>
  <si>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</si>
  <si>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</si>
  <si>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</si>
  <si>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</si>
  <si>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</si>
  <si>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</si>
  <si>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</si>
  <si>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</si>
  <si>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</si>
  <si>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</si>
  <si>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</si>
  <si>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</si>
  <si>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</si>
  <si>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</si>
  <si>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</si>
  <si>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</si>
  <si>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</si>
  <si>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</si>
  <si>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</si>
  <si>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</si>
  <si>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</si>
  <si>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</si>
  <si>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</si>
  <si>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</si>
  <si>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</si>
  <si>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</si>
  <si>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</si>
  <si>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</si>
  <si>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</si>
  <si>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</si>
  <si>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</si>
  <si>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</si>
  <si>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</si>
  <si>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</si>
  <si>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</si>
  <si>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</si>
  <si>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</si>
  <si>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</si>
  <si>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</si>
  <si>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</si>
  <si>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</si>
  <si>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</si>
  <si>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</si>
  <si>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</si>
  <si>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</si>
  <si>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</si>
  <si>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</si>
  <si>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</si>
  <si>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</si>
  <si>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</si>
  <si>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</si>
  <si>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</si>
  <si>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</si>
  <si>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</si>
  <si>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</si>
  <si>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</si>
  <si>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</si>
  <si>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</si>
  <si>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</si>
  <si>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</si>
  <si>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</si>
  <si>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</si>
  <si>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</si>
  <si>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</si>
  <si>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</si>
  <si>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</si>
  <si>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</si>
  <si>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</si>
  <si>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</si>
  <si>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</si>
  <si>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</si>
  <si>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</si>
  <si>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</si>
  <si>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</si>
  <si>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</si>
  <si>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</si>
  <si>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</si>
  <si>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</si>
  <si>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</si>
  <si>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</si>
  <si>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</si>
  <si>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</si>
  <si>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</si>
  <si>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</si>
  <si>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</si>
  <si>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</si>
  <si>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</si>
  <si>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</si>
  <si>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</si>
  <si>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</si>
  <si>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</si>
  <si>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</si>
  <si>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</si>
  <si>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</si>
  <si>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</si>
  <si>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</si>
  <si>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</si>
  <si>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</si>
  <si>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</si>
  <si>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</si>
  <si>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</si>
  <si>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</si>
  <si>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</si>
  <si>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</si>
  <si>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</si>
  <si>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</si>
  <si>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</si>
  <si>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</si>
  <si>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</si>
  <si>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</si>
  <si>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</si>
  <si>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</si>
  <si>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</si>
  <si>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</si>
  <si>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</si>
  <si>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</si>
  <si>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</si>
  <si>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</si>
  <si>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</si>
  <si>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</si>
  <si>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</si>
  <si>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</si>
  <si>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</si>
  <si>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</si>
  <si>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</si>
  <si>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</si>
  <si>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</si>
  <si>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</si>
  <si>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</si>
  <si>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</si>
  <si>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</si>
  <si>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</si>
  <si>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</si>
  <si>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</si>
  <si>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</si>
  <si>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</si>
  <si>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</si>
  <si>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</si>
  <si>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</si>
  <si>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</si>
  <si>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</si>
  <si>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</si>
  <si>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</si>
  <si>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</si>
  <si>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</si>
  <si>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</si>
  <si>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</si>
  <si>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</si>
  <si>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</si>
  <si>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</si>
  <si>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</si>
  <si>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</si>
  <si>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</si>
  <si>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</si>
  <si>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</si>
  <si>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</si>
  <si>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</si>
  <si>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</si>
  <si>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</si>
  <si>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</si>
  <si>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</si>
  <si>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</si>
  <si>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</si>
  <si>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</si>
  <si>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</si>
  <si>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</si>
  <si>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</si>
  <si>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</si>
  <si>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</si>
  <si>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</si>
  <si>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</si>
  <si>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</si>
  <si>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</si>
  <si>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</si>
  <si>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</si>
  <si>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</si>
  <si>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</si>
  <si>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</si>
  <si>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</si>
  <si>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</si>
  <si>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</si>
  <si>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</si>
  <si>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</si>
  <si>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</si>
  <si>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</si>
  <si>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</si>
  <si>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</si>
  <si>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</si>
  <si>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</si>
  <si>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</si>
  <si>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</si>
  <si>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</si>
  <si>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</si>
  <si>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</si>
  <si>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</si>
  <si>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</si>
  <si>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</si>
  <si>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</si>
  <si>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</si>
  <si>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</si>
  <si>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</si>
  <si>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</si>
  <si>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</si>
  <si>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</si>
  <si>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</si>
  <si>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</si>
  <si>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</si>
  <si>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</si>
  <si>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</si>
  <si>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</si>
  <si>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</si>
  <si>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</si>
  <si>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</si>
  <si>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</si>
  <si>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</si>
  <si>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</si>
  <si>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</si>
  <si>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</si>
  <si>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</si>
  <si>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</si>
  <si>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</si>
  <si>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</si>
  <si>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</si>
  <si>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</si>
  <si>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</si>
  <si>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</si>
  <si>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</si>
  <si>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</si>
  <si>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</si>
  <si>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</si>
  <si>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</si>
  <si>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</si>
  <si>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</si>
  <si>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</si>
  <si>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</si>
  <si>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</si>
  <si>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</si>
  <si>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</si>
  <si>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</si>
  <si>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</si>
  <si>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</si>
  <si>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</si>
  <si>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</si>
  <si>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</si>
  <si>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</si>
  <si>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</si>
  <si>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</si>
  <si>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</si>
  <si>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</si>
  <si>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</si>
  <si>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</si>
  <si>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</si>
  <si>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</si>
  <si>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</si>
  <si>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</si>
  <si>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</si>
  <si>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</si>
  <si>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</si>
  <si>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</si>
  <si>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</si>
  <si>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</si>
  <si>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</si>
  <si>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</si>
  <si>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</si>
  <si>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</si>
  <si>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</si>
  <si>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</si>
  <si>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</si>
  <si>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</si>
  <si>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</si>
  <si>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</si>
  <si>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</si>
  <si>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</si>
  <si>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</si>
  <si>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</si>
  <si>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</si>
  <si>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</si>
  <si>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</si>
  <si>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</si>
  <si>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</si>
  <si>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</si>
  <si>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</si>
  <si>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</si>
  <si>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</si>
  <si>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</si>
  <si>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</si>
  <si>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</si>
  <si>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</si>
  <si>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</si>
  <si>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</si>
  <si>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</si>
  <si>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</si>
  <si>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</si>
  <si>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</si>
  <si>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</si>
  <si>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</si>
  <si>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</si>
  <si>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</si>
  <si>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</si>
  <si>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</si>
  <si>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</si>
  <si>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</si>
  <si>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</si>
  <si>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</si>
  <si>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</si>
  <si>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</si>
  <si>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</si>
  <si>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</si>
  <si>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</si>
  <si>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</si>
  <si>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</si>
  <si>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</si>
  <si>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</si>
  <si>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</si>
  <si>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</si>
  <si>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</si>
  <si>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</si>
  <si>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</si>
  <si>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</si>
  <si>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</si>
  <si>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</si>
  <si>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</si>
  <si>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</si>
  <si>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</si>
  <si>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</si>
  <si>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</si>
  <si>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</si>
  <si>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</si>
  <si>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</si>
  <si>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</si>
  <si>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</si>
  <si>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</si>
  <si>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</si>
  <si>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</si>
  <si>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</si>
  <si>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</si>
  <si>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</si>
  <si>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</si>
  <si>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</si>
  <si>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</si>
  <si>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</si>
  <si>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</si>
  <si>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</si>
  <si>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</si>
  <si>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</si>
  <si>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</si>
  <si>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</si>
  <si>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</si>
  <si>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</si>
  <si>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</si>
  <si>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</si>
  <si>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</si>
  <si>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</si>
  <si>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</si>
  <si>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</si>
  <si>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</si>
  <si>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</si>
  <si>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</si>
  <si>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</si>
  <si>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</si>
  <si>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</si>
  <si>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</si>
  <si>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</si>
  <si>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</si>
  <si>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</si>
  <si>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</si>
  <si>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</si>
  <si>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</si>
  <si>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</si>
  <si>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</si>
  <si>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</si>
  <si>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</si>
  <si>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</si>
  <si>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</si>
  <si>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</si>
  <si>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</si>
  <si>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</si>
  <si>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</si>
  <si>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</si>
  <si>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</si>
  <si>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</si>
  <si>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</si>
  <si>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</si>
  <si>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</si>
  <si>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</si>
  <si>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</si>
  <si>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</si>
  <si>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</si>
  <si>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</si>
  <si>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</si>
  <si>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</si>
  <si>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</si>
  <si>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</si>
  <si>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</si>
  <si>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</si>
  <si>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</si>
  <si>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</si>
  <si>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</si>
  <si>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</si>
  <si>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</si>
  <si>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</si>
  <si>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</si>
  <si>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</si>
  <si>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</si>
  <si>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</si>
  <si>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71024</t>
  </si>
  <si>
    <t>HERK-DE-STAD</t>
  </si>
  <si>
    <t>Paarden&amp;pony's 200 - 600 kg</t>
  </si>
  <si>
    <t>Paarden&amp;pony's &lt; 200 kg</t>
  </si>
  <si>
    <t>referentietaak LNE (2017); Jaarverslag De Lijn (2014)</t>
  </si>
  <si>
    <t>op basis van VEA (maart 2018) en Inventaris Hernieuwbare Energiebronnen (juni 2018)</t>
  </si>
  <si>
    <t>VEA (maart 2016)</t>
  </si>
  <si>
    <t>VEA (juni 2018)</t>
  </si>
  <si>
    <t>Bio-energie Herk</t>
  </si>
  <si>
    <t>Herkkantstraat 47 , 3540 Herk-de-Stad</t>
  </si>
  <si>
    <t>WKK-0307 Bio-Energie Herk</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</si>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</sst>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111549.30215765837</c:v>
                </c:pt>
                <c:pt idx="1">
                  <c:v>25397.528450924976</c:v>
                </c:pt>
                <c:pt idx="2">
                  <c:v>910.76</c:v>
                </c:pt>
                <c:pt idx="3">
                  <c:v>20676.471270079765</c:v>
                </c:pt>
                <c:pt idx="4">
                  <c:v>15276.649916165859</c:v>
                </c:pt>
                <c:pt idx="5">
                  <c:v>67675.845941884181</c:v>
                </c:pt>
                <c:pt idx="6">
                  <c:v>1148.1108977699205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68960"/>
        <c:axId val="176170496"/>
      </c:barChart>
      <c:catAx>
        <c:axId val="176168960"/>
        <c:scaling>
          <c:orientation val="minMax"/>
        </c:scaling>
        <c:axPos val="b"/>
        <c:numFmt formatCode="General" sourceLinked="0"/>
        <c:tickLblPos val="nextTo"/>
        <c:crossAx val="176170496"/>
        <c:crosses val="autoZero"/>
        <c:auto val="1"/>
        <c:lblAlgn val="ctr"/>
        <c:lblOffset val="100"/>
      </c:catAx>
      <c:valAx>
        <c:axId val="176170496"/>
        <c:scaling>
          <c:orientation val="minMax"/>
        </c:scaling>
        <c:axPos val="l"/>
        <c:majorGridlines/>
        <c:numFmt formatCode="#,##0" sourceLinked="1"/>
        <c:tickLblPos val="nextTo"/>
        <c:crossAx val="1761689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111549.30215765837</c:v>
                </c:pt>
                <c:pt idx="1">
                  <c:v>25397.528450924976</c:v>
                </c:pt>
                <c:pt idx="2">
                  <c:v>910.76</c:v>
                </c:pt>
                <c:pt idx="3">
                  <c:v>20676.471270079765</c:v>
                </c:pt>
                <c:pt idx="4">
                  <c:v>15276.649916165859</c:v>
                </c:pt>
                <c:pt idx="5">
                  <c:v>67675.845941884181</c:v>
                </c:pt>
                <c:pt idx="6">
                  <c:v>1148.1108977699205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22602.720252145697</c:v>
                </c:pt>
                <c:pt idx="1">
                  <c:v>4611.1534379440063</c:v>
                </c:pt>
                <c:pt idx="2">
                  <c:v>150.85704716568895</c:v>
                </c:pt>
                <c:pt idx="3">
                  <c:v>3366.5112140490078</c:v>
                </c:pt>
                <c:pt idx="4">
                  <c:v>2929.4811489655913</c:v>
                </c:pt>
                <c:pt idx="5">
                  <c:v>16956.422238782063</c:v>
                </c:pt>
                <c:pt idx="6">
                  <c:v>290.00733670910427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59072"/>
        <c:axId val="176710016"/>
      </c:barChart>
      <c:catAx>
        <c:axId val="176659072"/>
        <c:scaling>
          <c:orientation val="minMax"/>
        </c:scaling>
        <c:axPos val="b"/>
        <c:numFmt formatCode="General" sourceLinked="0"/>
        <c:tickLblPos val="nextTo"/>
        <c:crossAx val="176710016"/>
        <c:crosses val="autoZero"/>
        <c:auto val="1"/>
        <c:lblAlgn val="ctr"/>
        <c:lblOffset val="100"/>
      </c:catAx>
      <c:valAx>
        <c:axId val="176710016"/>
        <c:scaling>
          <c:orientation val="minMax"/>
        </c:scaling>
        <c:axPos val="l"/>
        <c:majorGridlines/>
        <c:numFmt formatCode="#,##0" sourceLinked="1"/>
        <c:tickLblPos val="nextTo"/>
        <c:crossAx val="1766590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22602.720252145697</c:v>
                </c:pt>
                <c:pt idx="1">
                  <c:v>4611.1534379440063</c:v>
                </c:pt>
                <c:pt idx="2">
                  <c:v>150.85704716568895</c:v>
                </c:pt>
                <c:pt idx="3">
                  <c:v>3366.5112140490078</c:v>
                </c:pt>
                <c:pt idx="4">
                  <c:v>2929.4811489655913</c:v>
                </c:pt>
                <c:pt idx="5">
                  <c:v>16956.422238782063</c:v>
                </c:pt>
                <c:pt idx="6">
                  <c:v>290.00733670910427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71024</v>
      </c>
      <c r="B6" s="416"/>
      <c r="C6" s="417"/>
    </row>
    <row r="7" spans="1:7" s="414" customFormat="1" ht="15.75" customHeight="1">
      <c r="A7" s="418" t="str">
        <f>txtMunicipality</f>
        <v>HERK-DE-STAD</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5040</v>
      </c>
      <c r="C9" s="342">
        <v>5229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2261</v>
      </c>
    </row>
    <row r="15" spans="1:6">
      <c r="A15" s="348" t="s">
        <v>184</v>
      </c>
      <c r="B15" s="334">
        <v>544</v>
      </c>
    </row>
    <row r="16" spans="1:6">
      <c r="A16" s="348" t="s">
        <v>6</v>
      </c>
      <c r="B16" s="334">
        <v>203</v>
      </c>
    </row>
    <row r="17" spans="1:6">
      <c r="A17" s="348" t="s">
        <v>7</v>
      </c>
      <c r="B17" s="334">
        <v>550</v>
      </c>
    </row>
    <row r="18" spans="1:6">
      <c r="A18" s="348" t="s">
        <v>8</v>
      </c>
      <c r="B18" s="334">
        <v>543</v>
      </c>
    </row>
    <row r="19" spans="1:6">
      <c r="A19" s="348" t="s">
        <v>9</v>
      </c>
      <c r="B19" s="334">
        <v>464</v>
      </c>
    </row>
    <row r="20" spans="1:6">
      <c r="A20" s="348" t="s">
        <v>10</v>
      </c>
      <c r="B20" s="334">
        <v>389</v>
      </c>
    </row>
    <row r="21" spans="1:6">
      <c r="A21" s="348" t="s">
        <v>11</v>
      </c>
      <c r="B21" s="334">
        <v>32</v>
      </c>
    </row>
    <row r="22" spans="1:6">
      <c r="A22" s="348" t="s">
        <v>12</v>
      </c>
      <c r="B22" s="334">
        <v>3433</v>
      </c>
    </row>
    <row r="23" spans="1:6">
      <c r="A23" s="348" t="s">
        <v>13</v>
      </c>
      <c r="B23" s="334">
        <v>0</v>
      </c>
    </row>
    <row r="24" spans="1:6">
      <c r="A24" s="348" t="s">
        <v>14</v>
      </c>
      <c r="B24" s="334">
        <v>0</v>
      </c>
    </row>
    <row r="25" spans="1:6">
      <c r="A25" s="348" t="s">
        <v>15</v>
      </c>
      <c r="B25" s="334">
        <v>8</v>
      </c>
    </row>
    <row r="26" spans="1:6">
      <c r="A26" s="348" t="s">
        <v>16</v>
      </c>
      <c r="B26" s="334">
        <v>492</v>
      </c>
    </row>
    <row r="27" spans="1:6">
      <c r="A27" s="348" t="s">
        <v>17</v>
      </c>
      <c r="B27" s="334">
        <v>0</v>
      </c>
    </row>
    <row r="28" spans="1:6" s="356" customFormat="1">
      <c r="A28" s="355" t="s">
        <v>18</v>
      </c>
      <c r="B28" s="355">
        <v>77041</v>
      </c>
    </row>
    <row r="29" spans="1:6">
      <c r="A29" s="355" t="s">
        <v>828</v>
      </c>
      <c r="B29" s="355">
        <v>71</v>
      </c>
      <c r="C29" s="356"/>
      <c r="D29" s="356"/>
      <c r="E29" s="356"/>
      <c r="F29" s="356"/>
    </row>
    <row r="30" spans="1:6">
      <c r="A30" s="341" t="s">
        <v>829</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16408</v>
      </c>
    </row>
    <row r="39" spans="1:6">
      <c r="A39" s="348" t="s">
        <v>30</v>
      </c>
      <c r="B39" s="348" t="s">
        <v>31</v>
      </c>
      <c r="C39" s="334">
        <v>2137</v>
      </c>
      <c r="D39" s="334">
        <v>34031509</v>
      </c>
      <c r="E39" s="334">
        <v>5031</v>
      </c>
      <c r="F39" s="334">
        <v>18788608</v>
      </c>
    </row>
    <row r="40" spans="1:6">
      <c r="A40" s="348" t="s">
        <v>30</v>
      </c>
      <c r="B40" s="348" t="s">
        <v>29</v>
      </c>
      <c r="C40" s="334">
        <v>0</v>
      </c>
      <c r="D40" s="334">
        <v>0</v>
      </c>
      <c r="E40" s="334">
        <v>0</v>
      </c>
      <c r="F40" s="334">
        <v>0</v>
      </c>
    </row>
    <row r="41" spans="1:6">
      <c r="A41" s="348" t="s">
        <v>32</v>
      </c>
      <c r="B41" s="348" t="s">
        <v>33</v>
      </c>
      <c r="C41" s="334">
        <v>36</v>
      </c>
      <c r="D41" s="334">
        <v>874549</v>
      </c>
      <c r="E41" s="334">
        <v>101</v>
      </c>
      <c r="F41" s="334">
        <v>1503435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327142</v>
      </c>
      <c r="E44" s="334">
        <v>24</v>
      </c>
      <c r="F44" s="334">
        <v>1039074</v>
      </c>
    </row>
    <row r="45" spans="1:6">
      <c r="A45" s="348" t="s">
        <v>32</v>
      </c>
      <c r="B45" s="348" t="s">
        <v>37</v>
      </c>
      <c r="C45" s="334">
        <v>0</v>
      </c>
      <c r="D45" s="334">
        <v>0</v>
      </c>
      <c r="E45" s="334">
        <v>7</v>
      </c>
      <c r="F45" s="334">
        <v>698666</v>
      </c>
    </row>
    <row r="46" spans="1:6">
      <c r="A46" s="348" t="s">
        <v>32</v>
      </c>
      <c r="B46" s="348" t="s">
        <v>38</v>
      </c>
      <c r="C46" s="334">
        <v>0</v>
      </c>
      <c r="D46" s="334">
        <v>0</v>
      </c>
      <c r="E46" s="334">
        <v>0</v>
      </c>
      <c r="F46" s="334">
        <v>0</v>
      </c>
    </row>
    <row r="47" spans="1:6">
      <c r="A47" s="348" t="s">
        <v>32</v>
      </c>
      <c r="B47" s="348" t="s">
        <v>39</v>
      </c>
      <c r="C47" s="334">
        <v>3</v>
      </c>
      <c r="D47" s="334">
        <v>102653</v>
      </c>
      <c r="E47" s="334">
        <v>6</v>
      </c>
      <c r="F47" s="334">
        <v>59912</v>
      </c>
    </row>
    <row r="48" spans="1:6">
      <c r="A48" s="348" t="s">
        <v>32</v>
      </c>
      <c r="B48" s="348" t="s">
        <v>29</v>
      </c>
      <c r="C48" s="334">
        <v>4</v>
      </c>
      <c r="D48" s="334">
        <v>143222</v>
      </c>
      <c r="E48" s="334">
        <v>2</v>
      </c>
      <c r="F48" s="334">
        <v>38130</v>
      </c>
    </row>
    <row r="49" spans="1:6">
      <c r="A49" s="348" t="s">
        <v>32</v>
      </c>
      <c r="B49" s="348" t="s">
        <v>40</v>
      </c>
      <c r="C49" s="334">
        <v>0</v>
      </c>
      <c r="D49" s="334">
        <v>0</v>
      </c>
      <c r="E49" s="334">
        <v>0</v>
      </c>
      <c r="F49" s="334">
        <v>0</v>
      </c>
    </row>
    <row r="50" spans="1:6">
      <c r="A50" s="348" t="s">
        <v>32</v>
      </c>
      <c r="B50" s="348" t="s">
        <v>41</v>
      </c>
      <c r="C50" s="334">
        <v>5</v>
      </c>
      <c r="D50" s="334">
        <v>373054</v>
      </c>
      <c r="E50" s="334">
        <v>10</v>
      </c>
      <c r="F50" s="334">
        <v>2249953</v>
      </c>
    </row>
    <row r="51" spans="1:6">
      <c r="A51" s="348" t="s">
        <v>42</v>
      </c>
      <c r="B51" s="348" t="s">
        <v>43</v>
      </c>
      <c r="C51" s="334">
        <v>11</v>
      </c>
      <c r="D51" s="334">
        <v>2623298</v>
      </c>
      <c r="E51" s="334">
        <v>89</v>
      </c>
      <c r="F51" s="334">
        <v>3211471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88</v>
      </c>
      <c r="F54" s="334">
        <v>910760</v>
      </c>
    </row>
    <row r="55" spans="1:6">
      <c r="A55" s="348" t="s">
        <v>46</v>
      </c>
      <c r="B55" s="348" t="s">
        <v>29</v>
      </c>
      <c r="C55" s="334">
        <v>0</v>
      </c>
      <c r="D55" s="334">
        <v>0</v>
      </c>
      <c r="E55" s="334">
        <v>0</v>
      </c>
      <c r="F55" s="334">
        <v>0</v>
      </c>
    </row>
    <row r="56" spans="1:6">
      <c r="A56" s="348" t="s">
        <v>48</v>
      </c>
      <c r="B56" s="348" t="s">
        <v>29</v>
      </c>
      <c r="C56" s="334">
        <v>35</v>
      </c>
      <c r="D56" s="334">
        <v>958326</v>
      </c>
      <c r="E56" s="334">
        <v>106</v>
      </c>
      <c r="F56" s="334">
        <v>391283</v>
      </c>
    </row>
    <row r="57" spans="1:6">
      <c r="A57" s="348" t="s">
        <v>49</v>
      </c>
      <c r="B57" s="348" t="s">
        <v>50</v>
      </c>
      <c r="C57" s="334">
        <v>14</v>
      </c>
      <c r="D57" s="334">
        <v>624487</v>
      </c>
      <c r="E57" s="334">
        <v>55</v>
      </c>
      <c r="F57" s="334">
        <v>904588</v>
      </c>
    </row>
    <row r="58" spans="1:6">
      <c r="A58" s="348" t="s">
        <v>49</v>
      </c>
      <c r="B58" s="348" t="s">
        <v>51</v>
      </c>
      <c r="C58" s="334">
        <v>15</v>
      </c>
      <c r="D58" s="334">
        <v>1720816</v>
      </c>
      <c r="E58" s="334">
        <v>26</v>
      </c>
      <c r="F58" s="334">
        <v>1098139</v>
      </c>
    </row>
    <row r="59" spans="1:6">
      <c r="A59" s="348" t="s">
        <v>49</v>
      </c>
      <c r="B59" s="348" t="s">
        <v>52</v>
      </c>
      <c r="C59" s="334">
        <v>53</v>
      </c>
      <c r="D59" s="334">
        <v>1891426</v>
      </c>
      <c r="E59" s="334">
        <v>159</v>
      </c>
      <c r="F59" s="334">
        <v>5666305</v>
      </c>
    </row>
    <row r="60" spans="1:6">
      <c r="A60" s="348" t="s">
        <v>49</v>
      </c>
      <c r="B60" s="348" t="s">
        <v>53</v>
      </c>
      <c r="C60" s="334">
        <v>22</v>
      </c>
      <c r="D60" s="334">
        <v>898006</v>
      </c>
      <c r="E60" s="334">
        <v>41</v>
      </c>
      <c r="F60" s="334">
        <v>703949</v>
      </c>
    </row>
    <row r="61" spans="1:6">
      <c r="A61" s="348" t="s">
        <v>49</v>
      </c>
      <c r="B61" s="348" t="s">
        <v>54</v>
      </c>
      <c r="C61" s="334">
        <v>73</v>
      </c>
      <c r="D61" s="334">
        <v>2465060</v>
      </c>
      <c r="E61" s="334">
        <v>223</v>
      </c>
      <c r="F61" s="334">
        <v>4266476</v>
      </c>
    </row>
    <row r="62" spans="1:6">
      <c r="A62" s="348" t="s">
        <v>49</v>
      </c>
      <c r="B62" s="348" t="s">
        <v>55</v>
      </c>
      <c r="C62" s="334">
        <v>10</v>
      </c>
      <c r="D62" s="334">
        <v>2539930</v>
      </c>
      <c r="E62" s="334">
        <v>19</v>
      </c>
      <c r="F62" s="334">
        <v>810736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61207</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23105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54628643</v>
      </c>
      <c r="E73" s="477">
        <v>95900412.44961448</v>
      </c>
    </row>
    <row r="74" spans="1:6">
      <c r="A74" s="348" t="s">
        <v>64</v>
      </c>
      <c r="B74" s="348" t="s">
        <v>714</v>
      </c>
      <c r="C74" s="1229" t="s">
        <v>716</v>
      </c>
      <c r="D74" s="477">
        <v>5978206.6787438421</v>
      </c>
      <c r="E74" s="477">
        <v>9735977.8653685488</v>
      </c>
    </row>
    <row r="75" spans="1:6">
      <c r="A75" s="348" t="s">
        <v>65</v>
      </c>
      <c r="B75" s="348" t="s">
        <v>713</v>
      </c>
      <c r="C75" s="1229" t="s">
        <v>717</v>
      </c>
      <c r="D75" s="477">
        <v>19195687</v>
      </c>
      <c r="E75" s="477">
        <v>33647978.84314312</v>
      </c>
    </row>
    <row r="76" spans="1:6">
      <c r="A76" s="348" t="s">
        <v>65</v>
      </c>
      <c r="B76" s="348" t="s">
        <v>714</v>
      </c>
      <c r="C76" s="1229" t="s">
        <v>718</v>
      </c>
      <c r="D76" s="477">
        <v>600548.67874384171</v>
      </c>
      <c r="E76" s="477">
        <v>1042018.637706507</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306802.64251231664</v>
      </c>
      <c r="C83" s="477">
        <v>301572.61100344546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3988.2276352906033</v>
      </c>
    </row>
    <row r="92" spans="1:6">
      <c r="A92" s="341" t="s">
        <v>69</v>
      </c>
      <c r="B92" s="342">
        <v>3022.0624598194377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593</v>
      </c>
    </row>
    <row r="98" spans="1:6">
      <c r="A98" s="348" t="s">
        <v>72</v>
      </c>
      <c r="B98" s="334">
        <v>3</v>
      </c>
    </row>
    <row r="99" spans="1:6">
      <c r="A99" s="348" t="s">
        <v>73</v>
      </c>
      <c r="B99" s="334">
        <v>14</v>
      </c>
    </row>
    <row r="100" spans="1:6">
      <c r="A100" s="348" t="s">
        <v>74</v>
      </c>
      <c r="B100" s="334">
        <v>235</v>
      </c>
    </row>
    <row r="101" spans="1:6">
      <c r="A101" s="348" t="s">
        <v>75</v>
      </c>
      <c r="B101" s="334">
        <v>54</v>
      </c>
    </row>
    <row r="102" spans="1:6">
      <c r="A102" s="348" t="s">
        <v>76</v>
      </c>
      <c r="B102" s="334">
        <v>46</v>
      </c>
    </row>
    <row r="103" spans="1:6">
      <c r="A103" s="348" t="s">
        <v>77</v>
      </c>
      <c r="B103" s="334">
        <v>114</v>
      </c>
    </row>
    <row r="104" spans="1:6">
      <c r="A104" s="348" t="s">
        <v>78</v>
      </c>
      <c r="B104" s="334">
        <v>3288</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134</v>
      </c>
    </row>
    <row r="130" spans="1:6">
      <c r="A130" s="348" t="s">
        <v>295</v>
      </c>
      <c r="B130" s="334">
        <v>3</v>
      </c>
    </row>
    <row r="131" spans="1:6">
      <c r="A131" s="348" t="s">
        <v>296</v>
      </c>
      <c r="B131" s="334">
        <v>2</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45948.547519659609</v>
      </c>
      <c r="C3" s="43" t="s">
        <v>170</v>
      </c>
      <c r="D3" s="43"/>
      <c r="E3" s="154"/>
      <c r="F3" s="43"/>
      <c r="G3" s="43"/>
      <c r="H3" s="43"/>
      <c r="I3" s="43"/>
      <c r="J3" s="43"/>
      <c r="K3" s="96"/>
    </row>
    <row r="4" spans="1:11">
      <c r="A4" s="384" t="s">
        <v>171</v>
      </c>
      <c r="B4" s="49">
        <f>IF(ISERROR('SEAP template'!B69),0,'SEAP template'!B69)</f>
        <v>11510.290095110042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0.16563863934042883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6428.5714285714284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910.76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910.76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0.16563863934042883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150.85704716568895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18788.608</v>
      </c>
      <c r="C5" s="17">
        <f>IF(ISERROR('Eigen informatie GS &amp; warmtenet'!B57),0,'Eigen informatie GS &amp; warmtenet'!B57)</f>
        <v>0</v>
      </c>
      <c r="D5" s="30">
        <f>(SUM(HH_hh_gas_kWh,HH_rest_gas_kWh)/1000)*0.902</f>
        <v>30696.421117999998</v>
      </c>
      <c r="E5" s="17">
        <f>B46*B57</f>
        <v>669.12759233048905</v>
      </c>
      <c r="F5" s="17">
        <f>B51*B62</f>
        <v>46731.936927867224</v>
      </c>
      <c r="G5" s="18"/>
      <c r="H5" s="17"/>
      <c r="I5" s="17"/>
      <c r="J5" s="17">
        <f>B50*B61+C50*C61</f>
        <v>0</v>
      </c>
      <c r="K5" s="17"/>
      <c r="L5" s="17"/>
      <c r="M5" s="17"/>
      <c r="N5" s="17">
        <f>B48*B59+C48*C59</f>
        <v>9787.5242175033909</v>
      </c>
      <c r="O5" s="17">
        <f>B69*B70*B71</f>
        <v>239.19000000000003</v>
      </c>
      <c r="P5" s="17">
        <f>B77*B78*B79/1000-B77*B78*B79/1000/B80</f>
        <v>648.26666666666665</v>
      </c>
    </row>
    <row r="6" spans="1:16">
      <c r="A6" s="16" t="s">
        <v>631</v>
      </c>
      <c r="B6" s="844">
        <f>kWh_PV_kleiner_dan_10kW</f>
        <v>3988.2276352906033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22776.835635290605</v>
      </c>
      <c r="C8" s="21">
        <f>C5</f>
        <v>0</v>
      </c>
      <c r="D8" s="21">
        <f>D5</f>
        <v>30696.421117999998</v>
      </c>
      <c r="E8" s="21">
        <f>E5</f>
        <v>669.12759233048905</v>
      </c>
      <c r="F8" s="21">
        <f>F5</f>
        <v>46731.936927867224</v>
      </c>
      <c r="G8" s="21"/>
      <c r="H8" s="21"/>
      <c r="I8" s="21"/>
      <c r="J8" s="21">
        <f>J5</f>
        <v>0</v>
      </c>
      <c r="K8" s="21"/>
      <c r="L8" s="21">
        <f>L5</f>
        <v>0</v>
      </c>
      <c r="M8" s="21">
        <f>M5</f>
        <v>0</v>
      </c>
      <c r="N8" s="21">
        <f>N5</f>
        <v>9787.5242175033909</v>
      </c>
      <c r="O8" s="21">
        <f>O5</f>
        <v>239.19000000000003</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0.16563863934042883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3772.7240631101276</v>
      </c>
      <c r="C12" s="23">
        <f ca="1">C10*C8</f>
        <v>0</v>
      </c>
      <c r="D12" s="23">
        <f>D8*D10</f>
        <v>6200.6770658360001</v>
      </c>
      <c r="E12" s="23">
        <f>E10*E8</f>
        <v>151.89196345902101</v>
      </c>
      <c r="F12" s="23">
        <f>F10*F8</f>
        <v>12477.42715974055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593</v>
      </c>
      <c r="C18" s="166" t="s">
        <v>111</v>
      </c>
      <c r="D18" s="228"/>
      <c r="E18" s="15"/>
    </row>
    <row r="19" spans="1:7">
      <c r="A19" s="171" t="s">
        <v>72</v>
      </c>
      <c r="B19" s="37">
        <f>aantalw2001_ander</f>
        <v>3</v>
      </c>
      <c r="C19" s="166" t="s">
        <v>111</v>
      </c>
      <c r="D19" s="229"/>
      <c r="E19" s="15"/>
    </row>
    <row r="20" spans="1:7">
      <c r="A20" s="171" t="s">
        <v>73</v>
      </c>
      <c r="B20" s="37">
        <f>aantalw2001_propaan</f>
        <v>14</v>
      </c>
      <c r="C20" s="167">
        <f>IF(ISERROR(B20/SUM($B$20,$B$21,$B$22)*100),0,B20/SUM($B$20,$B$21,$B$22)*100)</f>
        <v>4.6204620462046204</v>
      </c>
      <c r="D20" s="229"/>
      <c r="E20" s="15"/>
    </row>
    <row r="21" spans="1:7">
      <c r="A21" s="171" t="s">
        <v>74</v>
      </c>
      <c r="B21" s="37">
        <f>aantalw2001_elektriciteit</f>
        <v>235</v>
      </c>
      <c r="C21" s="167">
        <f>IF(ISERROR(B21/SUM($B$20,$B$21,$B$22)*100),0,B21/SUM($B$20,$B$21,$B$22)*100)</f>
        <v>77.557755775577547</v>
      </c>
      <c r="D21" s="229"/>
      <c r="E21" s="15"/>
    </row>
    <row r="22" spans="1:7">
      <c r="A22" s="171" t="s">
        <v>75</v>
      </c>
      <c r="B22" s="37">
        <f>aantalw2001_hout</f>
        <v>54</v>
      </c>
      <c r="C22" s="167">
        <f>IF(ISERROR(B22/SUM($B$20,$B$21,$B$22)*100),0,B22/SUM($B$20,$B$21,$B$22)*100)</f>
        <v>17.82178217821782</v>
      </c>
      <c r="D22" s="229"/>
      <c r="E22" s="15"/>
    </row>
    <row r="23" spans="1:7">
      <c r="A23" s="171" t="s">
        <v>76</v>
      </c>
      <c r="B23" s="37">
        <f>aantalw2001_niet_gespec</f>
        <v>46</v>
      </c>
      <c r="C23" s="166" t="s">
        <v>111</v>
      </c>
      <c r="D23" s="228"/>
      <c r="E23" s="15"/>
    </row>
    <row r="24" spans="1:7">
      <c r="A24" s="171" t="s">
        <v>77</v>
      </c>
      <c r="B24" s="37">
        <f>aantalw2001_steenkool</f>
        <v>114</v>
      </c>
      <c r="C24" s="166" t="s">
        <v>111</v>
      </c>
      <c r="D24" s="229"/>
      <c r="E24" s="15"/>
    </row>
    <row r="25" spans="1:7">
      <c r="A25" s="171" t="s">
        <v>78</v>
      </c>
      <c r="B25" s="37">
        <f>aantalw2001_stookolie</f>
        <v>3288</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5040</v>
      </c>
      <c r="C28" s="36"/>
      <c r="D28" s="228"/>
    </row>
    <row r="29" spans="1:7" s="15" customFormat="1">
      <c r="A29" s="230" t="s">
        <v>741</v>
      </c>
      <c r="B29" s="37">
        <f>SUM(HH_hh_gas_aantal,HH_rest_gas_aantal)</f>
        <v>2137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2137</v>
      </c>
      <c r="C32" s="167">
        <f>IF(ISERROR(B32/SUM($B$32,$B$34,$B$35,$B$36,$B$38,$B$39)*100),0,B32/SUM($B$32,$B$34,$B$35,$B$36,$B$38,$B$39)*100)</f>
        <v>42.688773471833805</v>
      </c>
      <c r="D32" s="233"/>
      <c r="G32" s="15"/>
    </row>
    <row r="33" spans="1:7">
      <c r="A33" s="171" t="s">
        <v>72</v>
      </c>
      <c r="B33" s="34" t="s">
        <v>111</v>
      </c>
      <c r="C33" s="167"/>
      <c r="D33" s="233"/>
      <c r="G33" s="15"/>
    </row>
    <row r="34" spans="1:7">
      <c r="A34" s="171" t="s">
        <v>73</v>
      </c>
      <c r="B34" s="33">
        <f>IF((($B$28-$B$32-$B$39-$B$77-$B$38)*C20/100)&lt;0,0,($B$28-$B$32-$B$39-$B$77-$B$38)*C20/100)</f>
        <v>44.846204620462046</v>
      </c>
      <c r="C34" s="167">
        <f>IF(ISERROR(B34/SUM($B$32,$B$34,$B$35,$B$36,$B$38,$B$39)*100),0,B34/SUM($B$32,$B$34,$B$35,$B$36,$B$38,$B$39)*100)</f>
        <v>0.89584907352101584</v>
      </c>
      <c r="D34" s="233"/>
      <c r="G34" s="15"/>
    </row>
    <row r="35" spans="1:7">
      <c r="A35" s="171" t="s">
        <v>74</v>
      </c>
      <c r="B35" s="33">
        <f>IF((($B$28-$B$32-$B$39-$B$77-$B$38)*C21/100)&lt;0,0,($B$28-$B$32-$B$39-$B$77-$B$38)*C21/100)</f>
        <v>752.7755775577557</v>
      </c>
      <c r="C35" s="167">
        <f>IF(ISERROR(B35/SUM($B$32,$B$34,$B$35,$B$36,$B$38,$B$39)*100),0,B35/SUM($B$32,$B$34,$B$35,$B$36,$B$38,$B$39)*100)</f>
        <v>15.037466591245618</v>
      </c>
      <c r="D35" s="233"/>
      <c r="G35" s="15"/>
    </row>
    <row r="36" spans="1:7">
      <c r="A36" s="171" t="s">
        <v>75</v>
      </c>
      <c r="B36" s="33">
        <f>IF((($B$28-$B$32-$B$39-$B$77-$B$38)*C22/100)&lt;0,0,($B$28-$B$32-$B$39-$B$77-$B$38)*C22/100)</f>
        <v>172.97821782178221</v>
      </c>
      <c r="C36" s="167">
        <f>IF(ISERROR(B36/SUM($B$32,$B$34,$B$35,$B$36,$B$38,$B$39)*100),0,B36/SUM($B$32,$B$34,$B$35,$B$36,$B$38,$B$39)*100)</f>
        <v>3.4554178550096326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1898.3999999999999</v>
      </c>
      <c r="C39" s="167">
        <f>IF(ISERROR(B39/SUM($B$32,$B$34,$B$35,$B$36,$B$38,$B$39)*100),0,B39/SUM($B$32,$B$34,$B$35,$B$36,$B$38,$B$39)*100)</f>
        <v>37.922493008389928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2137</v>
      </c>
      <c r="C44" s="34" t="s">
        <v>111</v>
      </c>
      <c r="D44" s="174"/>
    </row>
    <row r="45" spans="1:7">
      <c r="A45" s="171" t="s">
        <v>72</v>
      </c>
      <c r="B45" s="33" t="str">
        <f t="shared" si="0"/>
        <v>-</v>
      </c>
      <c r="C45" s="34" t="s">
        <v>111</v>
      </c>
      <c r="D45" s="174"/>
    </row>
    <row r="46" spans="1:7">
      <c r="A46" s="171" t="s">
        <v>73</v>
      </c>
      <c r="B46" s="33">
        <f t="shared" si="0"/>
        <v>44.846204620462046</v>
      </c>
      <c r="C46" s="34" t="s">
        <v>111</v>
      </c>
      <c r="D46" s="174"/>
    </row>
    <row r="47" spans="1:7">
      <c r="A47" s="171" t="s">
        <v>74</v>
      </c>
      <c r="B47" s="33">
        <f t="shared" si="0"/>
        <v>752.7755775577557</v>
      </c>
      <c r="C47" s="34" t="s">
        <v>111</v>
      </c>
      <c r="D47" s="174"/>
    </row>
    <row r="48" spans="1:7">
      <c r="A48" s="171" t="s">
        <v>75</v>
      </c>
      <c r="B48" s="33">
        <f t="shared" si="0"/>
        <v>172.97821782178221</v>
      </c>
      <c r="C48" s="33">
        <f>B48*10</f>
        <v>1729.7821782178221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1898.3999999999999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13450.192999999999</v>
      </c>
      <c r="C5" s="17">
        <f>IF(ISERROR('Eigen informatie GS &amp; warmtenet'!B58),0,'Eigen informatie GS &amp; warmtenet'!B58)</f>
        <v>0</v>
      </c>
      <c r="D5" s="30">
        <f>SUM(D6:D12)</f>
        <v>9146.0319500000005</v>
      </c>
      <c r="E5" s="17">
        <f>SUM(E6:E12)</f>
        <v>107.30594790453365</v>
      </c>
      <c r="F5" s="17">
        <f>SUM(F6:F12)</f>
        <v>1915.4489381405128</v>
      </c>
      <c r="G5" s="18"/>
      <c r="H5" s="17"/>
      <c r="I5" s="17"/>
      <c r="J5" s="17">
        <f>SUM(J6:J12)</f>
        <v>0</v>
      </c>
      <c r="K5" s="17"/>
      <c r="L5" s="17"/>
      <c r="M5" s="17"/>
      <c r="N5" s="17">
        <f>SUM(N6:N12)</f>
        <v>735.72528154659915</v>
      </c>
      <c r="O5" s="17">
        <f>B38*B39*B40</f>
        <v>4.6900000000000004</v>
      </c>
      <c r="P5" s="17">
        <f>B46*B47*B48/1000-B46*B47*B48/1000/B49</f>
        <v>38.133333333333333</v>
      </c>
      <c r="R5" s="32"/>
    </row>
    <row r="6" spans="1:18">
      <c r="A6" s="32" t="s">
        <v>54</v>
      </c>
      <c r="B6" s="37">
        <f>B26</f>
        <v>4266.4759999999997</v>
      </c>
      <c r="C6" s="33"/>
      <c r="D6" s="37">
        <f>IF(ISERROR(TER_kantoor_gas_kWh/1000),0,TER_kantoor_gas_kWh/1000)*0.902</f>
        <v>2223.4841200000001</v>
      </c>
      <c r="E6" s="33">
        <f>$C$26*'E Balans VL '!I12/100/3.6*1000000</f>
        <v>12.360606952788642</v>
      </c>
      <c r="F6" s="33">
        <f>$C$26*('E Balans VL '!L12+'E Balans VL '!N12)/100/3.6*1000000</f>
        <v>482.87108544585368</v>
      </c>
      <c r="G6" s="34"/>
      <c r="H6" s="33"/>
      <c r="I6" s="33"/>
      <c r="J6" s="33">
        <f>$C$26*('E Balans VL '!D12+'E Balans VL '!E12)/100/3.6*1000000</f>
        <v>0</v>
      </c>
      <c r="K6" s="33"/>
      <c r="L6" s="33"/>
      <c r="M6" s="33"/>
      <c r="N6" s="33">
        <f>$C$26*'E Balans VL '!Y12/100/3.6*1000000</f>
        <v>42.70428108012176</v>
      </c>
      <c r="O6" s="33"/>
      <c r="P6" s="33"/>
      <c r="R6" s="32"/>
    </row>
    <row r="7" spans="1:18">
      <c r="A7" s="32" t="s">
        <v>53</v>
      </c>
      <c r="B7" s="37">
        <f t="shared" ref="B7:B12" si="0">B27</f>
        <v>703.94899999999996</v>
      </c>
      <c r="C7" s="33"/>
      <c r="D7" s="37">
        <f>IF(ISERROR(TER_horeca_gas_kWh/1000),0,TER_horeca_gas_kWh/1000)*0.902</f>
        <v>810.00141199999996</v>
      </c>
      <c r="E7" s="33">
        <f>$C$27*'E Balans VL '!I9/100/3.6*1000000</f>
        <v>29.5498122253654</v>
      </c>
      <c r="F7" s="33">
        <f>$C$27*('E Balans VL '!L9+'E Balans VL '!N9)/100/3.6*1000000</f>
        <v>151.25787848385437</v>
      </c>
      <c r="G7" s="34"/>
      <c r="H7" s="33"/>
      <c r="I7" s="33"/>
      <c r="J7" s="33">
        <f>$C$27*('E Balans VL '!D9+'E Balans VL '!E9)/100/3.6*1000000</f>
        <v>0</v>
      </c>
      <c r="K7" s="33"/>
      <c r="L7" s="33"/>
      <c r="M7" s="33"/>
      <c r="N7" s="33">
        <f>$C$27*'E Balans VL '!Y9/100/3.6*1000000</f>
        <v>0.18140150104266253</v>
      </c>
      <c r="O7" s="33"/>
      <c r="P7" s="33"/>
      <c r="R7" s="32"/>
    </row>
    <row r="8" spans="1:18">
      <c r="A8" s="6" t="s">
        <v>52</v>
      </c>
      <c r="B8" s="37">
        <f t="shared" si="0"/>
        <v>5666.3050000000003</v>
      </c>
      <c r="C8" s="33"/>
      <c r="D8" s="37">
        <f>IF(ISERROR(TER_handel_gas_kWh/1000),0,TER_handel_gas_kWh/1000)*0.902</f>
        <v>1706.0662520000001</v>
      </c>
      <c r="E8" s="33">
        <f>$C$28*'E Balans VL '!I13/100/3.6*1000000</f>
        <v>60.860831631593648</v>
      </c>
      <c r="F8" s="33">
        <f>$C$28*('E Balans VL '!L13+'E Balans VL '!N13)/100/3.6*1000000</f>
        <v>733.54997363209532</v>
      </c>
      <c r="G8" s="34"/>
      <c r="H8" s="33"/>
      <c r="I8" s="33"/>
      <c r="J8" s="33">
        <f>$C$28*('E Balans VL '!D13+'E Balans VL '!E13)/100/3.6*1000000</f>
        <v>0</v>
      </c>
      <c r="K8" s="33"/>
      <c r="L8" s="33"/>
      <c r="M8" s="33"/>
      <c r="N8" s="33">
        <f>$C$28*'E Balans VL '!Y13/100/3.6*1000000</f>
        <v>45.965375553705293</v>
      </c>
      <c r="O8" s="33"/>
      <c r="P8" s="33"/>
      <c r="R8" s="32"/>
    </row>
    <row r="9" spans="1:18">
      <c r="A9" s="32" t="s">
        <v>51</v>
      </c>
      <c r="B9" s="37">
        <f t="shared" si="0"/>
        <v>1098.1389999999999</v>
      </c>
      <c r="C9" s="33"/>
      <c r="D9" s="37">
        <f>IF(ISERROR(TER_gezond_gas_kWh/1000),0,TER_gezond_gas_kWh/1000)*0.902</f>
        <v>1552.1760320000001</v>
      </c>
      <c r="E9" s="33">
        <f>$C$29*'E Balans VL '!I10/100/3.6*1000000</f>
        <v>0.87418966972768442</v>
      </c>
      <c r="F9" s="33">
        <f>$C$29*('E Balans VL '!L10+'E Balans VL '!N10)/100/3.6*1000000</f>
        <v>133.49466498792569</v>
      </c>
      <c r="G9" s="34"/>
      <c r="H9" s="33"/>
      <c r="I9" s="33"/>
      <c r="J9" s="33">
        <f>$C$29*('E Balans VL '!D10+'E Balans VL '!E10)/100/3.6*1000000</f>
        <v>0</v>
      </c>
      <c r="K9" s="33"/>
      <c r="L9" s="33"/>
      <c r="M9" s="33"/>
      <c r="N9" s="33">
        <f>$C$29*'E Balans VL '!Y10/100/3.6*1000000</f>
        <v>8.8704759091873129</v>
      </c>
      <c r="O9" s="33"/>
      <c r="P9" s="33"/>
      <c r="R9" s="32"/>
    </row>
    <row r="10" spans="1:18">
      <c r="A10" s="32" t="s">
        <v>50</v>
      </c>
      <c r="B10" s="37">
        <f t="shared" si="0"/>
        <v>904.58799999999997</v>
      </c>
      <c r="C10" s="33"/>
      <c r="D10" s="37">
        <f>IF(ISERROR(TER_ander_gas_kWh/1000),0,TER_ander_gas_kWh/1000)*0.902</f>
        <v>563.28727400000002</v>
      </c>
      <c r="E10" s="33">
        <f>$C$30*'E Balans VL '!I14/100/3.6*1000000</f>
        <v>3.1000705969619995</v>
      </c>
      <c r="F10" s="33">
        <f>$C$30*('E Balans VL '!L14+'E Balans VL '!N14)/100/3.6*1000000</f>
        <v>202.0482010736587</v>
      </c>
      <c r="G10" s="34"/>
      <c r="H10" s="33"/>
      <c r="I10" s="33"/>
      <c r="J10" s="33">
        <f>$C$30*('E Balans VL '!D14+'E Balans VL '!E14)/100/3.6*1000000</f>
        <v>0</v>
      </c>
      <c r="K10" s="33"/>
      <c r="L10" s="33"/>
      <c r="M10" s="33"/>
      <c r="N10" s="33">
        <f>$C$30*'E Balans VL '!Y14/100/3.6*1000000</f>
        <v>637.19672886764783</v>
      </c>
      <c r="O10" s="33"/>
      <c r="P10" s="33"/>
      <c r="R10" s="32"/>
    </row>
    <row r="11" spans="1:18">
      <c r="A11" s="32" t="s">
        <v>55</v>
      </c>
      <c r="B11" s="37">
        <f t="shared" si="0"/>
        <v>810.73599999999999</v>
      </c>
      <c r="C11" s="33"/>
      <c r="D11" s="37">
        <f>IF(ISERROR(TER_onderwijs_gas_kWh/1000),0,TER_onderwijs_gas_kWh/1000)*0.902</f>
        <v>2291.0168599999997</v>
      </c>
      <c r="E11" s="33">
        <f>$C$31*'E Balans VL '!I11/100/3.6*1000000</f>
        <v>0.56043682809626805</v>
      </c>
      <c r="F11" s="33">
        <f>$C$31*('E Balans VL '!L11+'E Balans VL '!N11)/100/3.6*1000000</f>
        <v>212.22713451712511</v>
      </c>
      <c r="G11" s="34"/>
      <c r="H11" s="33"/>
      <c r="I11" s="33"/>
      <c r="J11" s="33">
        <f>$C$31*('E Balans VL '!D11+'E Balans VL '!E11)/100/3.6*1000000</f>
        <v>0</v>
      </c>
      <c r="K11" s="33"/>
      <c r="L11" s="33"/>
      <c r="M11" s="33"/>
      <c r="N11" s="33">
        <f>$C$31*'E Balans VL '!Y11/100/3.6*1000000</f>
        <v>0.80701863489423276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13450.192999999999</v>
      </c>
      <c r="C16" s="21">
        <f t="shared" ca="1" si="1"/>
        <v>0</v>
      </c>
      <c r="D16" s="21">
        <f t="shared" ca="1" si="1"/>
        <v>9146.0319500000005</v>
      </c>
      <c r="E16" s="21">
        <f t="shared" si="1"/>
        <v>107.30594790453365</v>
      </c>
      <c r="F16" s="21">
        <f t="shared" ca="1" si="1"/>
        <v>1915.4489381405128</v>
      </c>
      <c r="G16" s="21">
        <f t="shared" si="1"/>
        <v>0</v>
      </c>
      <c r="H16" s="21">
        <f t="shared" si="1"/>
        <v>0</v>
      </c>
      <c r="I16" s="21">
        <f t="shared" si="1"/>
        <v>0</v>
      </c>
      <c r="J16" s="21">
        <f t="shared" si="1"/>
        <v>0</v>
      </c>
      <c r="K16" s="21">
        <f t="shared" si="1"/>
        <v>0</v>
      </c>
      <c r="L16" s="21">
        <f t="shared" ca="1" si="1"/>
        <v>0</v>
      </c>
      <c r="M16" s="21">
        <f t="shared" si="1"/>
        <v>0</v>
      </c>
      <c r="N16" s="21">
        <f t="shared" ca="1" si="1"/>
        <v>735.72528154659915</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0.16563863934042883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2227.8716673861604</v>
      </c>
      <c r="C20" s="23">
        <f t="shared" ref="C20:P20" ca="1" si="2">C16*C18</f>
        <v>0</v>
      </c>
      <c r="D20" s="23">
        <f t="shared" ca="1" si="2"/>
        <v>1847.4984539000002</v>
      </c>
      <c r="E20" s="23">
        <f t="shared" si="2"/>
        <v>24.358450174329139</v>
      </c>
      <c r="F20" s="23">
        <f t="shared" ca="1" si="2"/>
        <v>511.42486648351695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4266.4759999999997</v>
      </c>
      <c r="C26" s="39">
        <f>IF(ISERROR(B26*3.6/1000000/'E Balans VL '!Z12*100),0,B26*3.6/1000000/'E Balans VL '!Z12*100)</f>
        <v>9.3718077880186976E-2</v>
      </c>
      <c r="D26" s="237" t="s">
        <v>692</v>
      </c>
      <c r="F26" s="6"/>
    </row>
    <row r="27" spans="1:18">
      <c r="A27" s="231" t="s">
        <v>53</v>
      </c>
      <c r="B27" s="33">
        <f>IF(ISERROR(TER_horeca_ele_kWh/1000),0,TER_horeca_ele_kWh/1000)</f>
        <v>703.94899999999996</v>
      </c>
      <c r="C27" s="39">
        <f>IF(ISERROR(B27*3.6/1000000/'E Balans VL '!Z9*100),0,B27*3.6/1000000/'E Balans VL '!Z9*100)</f>
        <v>5.6569319196510891E-2</v>
      </c>
      <c r="D27" s="237" t="s">
        <v>692</v>
      </c>
      <c r="F27" s="6"/>
    </row>
    <row r="28" spans="1:18">
      <c r="A28" s="171" t="s">
        <v>52</v>
      </c>
      <c r="B28" s="33">
        <f>IF(ISERROR(TER_handel_ele_kWh/1000),0,TER_handel_ele_kWh/1000)</f>
        <v>5666.3050000000003</v>
      </c>
      <c r="C28" s="39">
        <f>IF(ISERROR(B28*3.6/1000000/'E Balans VL '!Z13*100),0,B28*3.6/1000000/'E Balans VL '!Z13*100)</f>
        <v>0.16754868028621073</v>
      </c>
      <c r="D28" s="237" t="s">
        <v>692</v>
      </c>
      <c r="F28" s="6"/>
    </row>
    <row r="29" spans="1:18">
      <c r="A29" s="231" t="s">
        <v>51</v>
      </c>
      <c r="B29" s="33">
        <f>IF(ISERROR(TER_gezond_ele_kWh/1000),0,TER_gezond_ele_kWh/1000)</f>
        <v>1098.1389999999999</v>
      </c>
      <c r="C29" s="39">
        <f>IF(ISERROR(B29*3.6/1000000/'E Balans VL '!Z10*100),0,B29*3.6/1000000/'E Balans VL '!Z10*100)</f>
        <v>0.12373191385020661</v>
      </c>
      <c r="D29" s="237" t="s">
        <v>692</v>
      </c>
      <c r="F29" s="6"/>
    </row>
    <row r="30" spans="1:18">
      <c r="A30" s="231" t="s">
        <v>50</v>
      </c>
      <c r="B30" s="33">
        <f>IF(ISERROR(TER_ander_ele_kWh/1000),0,TER_ander_ele_kWh/1000)</f>
        <v>904.58799999999997</v>
      </c>
      <c r="C30" s="39">
        <f>IF(ISERROR(B30*3.6/1000000/'E Balans VL '!Z14*100),0,B30*3.6/1000000/'E Balans VL '!Z14*100)</f>
        <v>6.8412444116661517E-2</v>
      </c>
      <c r="D30" s="237" t="s">
        <v>692</v>
      </c>
      <c r="F30" s="6"/>
    </row>
    <row r="31" spans="1:18">
      <c r="A31" s="231" t="s">
        <v>55</v>
      </c>
      <c r="B31" s="33">
        <f>IF(ISERROR(TER_onderwijs_ele_kWh/1000),0,TER_onderwijs_ele_kWh/1000)</f>
        <v>810.73599999999999</v>
      </c>
      <c r="C31" s="39">
        <f>IF(ISERROR(B31*3.6/1000000/'E Balans VL '!Z11*100),0,B31*3.6/1000000/'E Balans VL '!Z11*100)</f>
        <v>0.168289973171729</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5589.17</v>
      </c>
      <c r="C5" s="17">
        <f>IF(ISERROR('Eigen informatie GS &amp; warmtenet'!B59),0,'Eigen informatie GS &amp; warmtenet'!B59)</f>
        <v>0</v>
      </c>
      <c r="D5" s="30">
        <f>SUM(D6:D15)</f>
        <v>1642.1992400000001</v>
      </c>
      <c r="E5" s="17">
        <f>SUM(E6:E15)</f>
        <v>466.50419516156285</v>
      </c>
      <c r="F5" s="17">
        <f>SUM(F6:F15)</f>
        <v>5792.4798597766194</v>
      </c>
      <c r="G5" s="18"/>
      <c r="H5" s="17"/>
      <c r="I5" s="17"/>
      <c r="J5" s="17">
        <f>SUM(J6:J15)</f>
        <v>55.04467169834566</v>
      </c>
      <c r="K5" s="17"/>
      <c r="L5" s="17"/>
      <c r="M5" s="17"/>
      <c r="N5" s="17">
        <f>SUM(N6:N15)</f>
        <v>1731.2519495293311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1039.0740000000001</v>
      </c>
      <c r="C8" s="33"/>
      <c r="D8" s="37">
        <f>IF( ISERROR(IND_metaal_Gas_kWH/1000),0,IND_metaal_Gas_kWH/1000)*0.902</f>
        <v>295.08208400000001</v>
      </c>
      <c r="E8" s="33">
        <f>C30*'E Balans VL '!I18/100/3.6*1000000</f>
        <v>26.004385538910817</v>
      </c>
      <c r="F8" s="33">
        <f>C30*'E Balans VL '!L18/100/3.6*1000000+C30*'E Balans VL '!N18/100/3.6*1000000</f>
        <v>325.65096021988768</v>
      </c>
      <c r="G8" s="34"/>
      <c r="H8" s="33"/>
      <c r="I8" s="33"/>
      <c r="J8" s="40">
        <f>C30*'E Balans VL '!D18/100/3.6*1000000+C30*'E Balans VL '!E18/100/3.6*1000000</f>
        <v>0</v>
      </c>
      <c r="K8" s="33"/>
      <c r="L8" s="33"/>
      <c r="M8" s="33"/>
      <c r="N8" s="33">
        <f>C30*'E Balans VL '!Y18/100/3.6*1000000</f>
        <v>26.10423551217815</v>
      </c>
      <c r="O8" s="33"/>
      <c r="P8" s="33"/>
      <c r="R8" s="32"/>
    </row>
    <row r="9" spans="1:18">
      <c r="A9" s="6" t="s">
        <v>33</v>
      </c>
      <c r="B9" s="37">
        <f t="shared" si="0"/>
        <v>1503.4349999999999</v>
      </c>
      <c r="C9" s="33"/>
      <c r="D9" s="37">
        <f>IF( ISERROR(IND_andere_gas_kWh/1000),0,IND_andere_gas_kWh/1000)*0.902</f>
        <v>788.84319800000003</v>
      </c>
      <c r="E9" s="33">
        <f>C31*'E Balans VL '!I19/100/3.6*1000000</f>
        <v>413.38296152989278</v>
      </c>
      <c r="F9" s="33">
        <f>C31*'E Balans VL '!L19/100/3.6*1000000+C31*'E Balans VL '!N19/100/3.6*1000000</f>
        <v>1184.9683964735289</v>
      </c>
      <c r="G9" s="34"/>
      <c r="H9" s="33"/>
      <c r="I9" s="33"/>
      <c r="J9" s="40">
        <f>C31*'E Balans VL '!D19/100/3.6*1000000+C31*'E Balans VL '!E19/100/3.6*1000000</f>
        <v>0</v>
      </c>
      <c r="K9" s="33"/>
      <c r="L9" s="33"/>
      <c r="M9" s="33"/>
      <c r="N9" s="33">
        <f>C31*'E Balans VL '!Y19/100/3.6*1000000</f>
        <v>486.70159354330599</v>
      </c>
      <c r="O9" s="33"/>
      <c r="P9" s="33"/>
      <c r="R9" s="32"/>
    </row>
    <row r="10" spans="1:18">
      <c r="A10" s="6" t="s">
        <v>41</v>
      </c>
      <c r="B10" s="37">
        <f t="shared" si="0"/>
        <v>2249.953</v>
      </c>
      <c r="C10" s="33"/>
      <c r="D10" s="37">
        <f>IF( ISERROR(IND_voed_gas_kWh/1000),0,IND_voed_gas_kWh/1000)*0.902</f>
        <v>336.494708</v>
      </c>
      <c r="E10" s="33">
        <f>C32*'E Balans VL '!I20/100/3.6*1000000</f>
        <v>22.937031328819646</v>
      </c>
      <c r="F10" s="33">
        <f>C32*'E Balans VL '!L20/100/3.6*1000000+C32*'E Balans VL '!N20/100/3.6*1000000</f>
        <v>4250.1471449023775</v>
      </c>
      <c r="G10" s="34"/>
      <c r="H10" s="33"/>
      <c r="I10" s="33"/>
      <c r="J10" s="40">
        <f>C32*'E Balans VL '!D20/100/3.6*1000000+C32*'E Balans VL '!E20/100/3.6*1000000</f>
        <v>53.848737169546148</v>
      </c>
      <c r="K10" s="33"/>
      <c r="L10" s="33"/>
      <c r="M10" s="33"/>
      <c r="N10" s="33">
        <f>C32*'E Balans VL '!Y20/100/3.6*1000000</f>
        <v>1185.9843938061324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698.66600000000005</v>
      </c>
      <c r="C12" s="33"/>
      <c r="D12" s="37">
        <f>IF( ISERROR(IND_min_gas_kWh/1000),0,IND_min_gas_kWh/1000)*0.902</f>
        <v>0</v>
      </c>
      <c r="E12" s="33">
        <f>C34*'E Balans VL '!I22/100/3.6*1000000</f>
        <v>2.1159432703858032</v>
      </c>
      <c r="F12" s="33">
        <f>C34*'E Balans VL '!L22/100/3.6*1000000+C34*'E Balans VL '!N22/100/3.6*1000000</f>
        <v>21.833913168385536</v>
      </c>
      <c r="G12" s="34"/>
      <c r="H12" s="33"/>
      <c r="I12" s="33"/>
      <c r="J12" s="40">
        <f>C34*'E Balans VL '!D22/100/3.6*1000000+C34*'E Balans VL '!E22/100/3.6*1000000</f>
        <v>1.03596658213994</v>
      </c>
      <c r="K12" s="33"/>
      <c r="L12" s="33"/>
      <c r="M12" s="33"/>
      <c r="N12" s="33">
        <f>C34*'E Balans VL '!Y22/100/3.6*1000000</f>
        <v>0</v>
      </c>
      <c r="O12" s="33"/>
      <c r="P12" s="33"/>
      <c r="R12" s="32"/>
    </row>
    <row r="13" spans="1:18">
      <c r="A13" s="6" t="s">
        <v>39</v>
      </c>
      <c r="B13" s="37">
        <f t="shared" si="0"/>
        <v>59.911999999999999</v>
      </c>
      <c r="C13" s="33"/>
      <c r="D13" s="37">
        <f>IF( ISERROR(IND_papier_gas_kWh/1000),0,IND_papier_gas_kWh/1000)*0.902</f>
        <v>92.593006000000003</v>
      </c>
      <c r="E13" s="33">
        <f>C35*'E Balans VL '!I23/100/3.6*1000000</f>
        <v>0.12408179596262307</v>
      </c>
      <c r="F13" s="33">
        <f>C35*'E Balans VL '!L23/100/3.6*1000000+C35*'E Balans VL '!N23/100/3.6*1000000</f>
        <v>1.1881834011193995</v>
      </c>
      <c r="G13" s="34"/>
      <c r="H13" s="33"/>
      <c r="I13" s="33"/>
      <c r="J13" s="40">
        <f>C35*'E Balans VL '!D23/100/3.6*1000000+C35*'E Balans VL '!E23/100/3.6*1000000</f>
        <v>0</v>
      </c>
      <c r="K13" s="33"/>
      <c r="L13" s="33"/>
      <c r="M13" s="33"/>
      <c r="N13" s="33">
        <f>C35*'E Balans VL '!Y23/100/3.6*1000000</f>
        <v>25.297714314362601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38.130000000000003</v>
      </c>
      <c r="C15" s="33"/>
      <c r="D15" s="37">
        <f>IF( ISERROR(IND_rest_gas_kWh/1000),0,IND_rest_gas_kWh/1000)*0.902</f>
        <v>129.18624400000002</v>
      </c>
      <c r="E15" s="33">
        <f>C37*'E Balans VL '!I15/100/3.6*1000000</f>
        <v>1.9397916975911456</v>
      </c>
      <c r="F15" s="33">
        <f>C37*'E Balans VL '!L15/100/3.6*1000000+C37*'E Balans VL '!N15/100/3.6*1000000</f>
        <v>8.6912616113211314</v>
      </c>
      <c r="G15" s="34"/>
      <c r="H15" s="33"/>
      <c r="I15" s="33"/>
      <c r="J15" s="40">
        <f>C37*'E Balans VL '!D15/100/3.6*1000000+C37*'E Balans VL '!E15/100/3.6*1000000</f>
        <v>0.15996794665957012</v>
      </c>
      <c r="K15" s="33"/>
      <c r="L15" s="33"/>
      <c r="M15" s="33"/>
      <c r="N15" s="33">
        <f>C37*'E Balans VL '!Y15/100/3.6*1000000</f>
        <v>7.1640123533520796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5589.17</v>
      </c>
      <c r="C18" s="21">
        <f>C5+C16</f>
        <v>0</v>
      </c>
      <c r="D18" s="21">
        <f>MAX((D5+D16),0)</f>
        <v>1642.1992400000001</v>
      </c>
      <c r="E18" s="21">
        <f>MAX((E5+E16),0)</f>
        <v>466.50419516156285</v>
      </c>
      <c r="F18" s="21">
        <f>MAX((F5+F16),0)</f>
        <v>5792.4798597766194</v>
      </c>
      <c r="G18" s="21"/>
      <c r="H18" s="21"/>
      <c r="I18" s="21"/>
      <c r="J18" s="21">
        <f>MAX((J5+J16),0)</f>
        <v>55.04467169834566</v>
      </c>
      <c r="K18" s="21"/>
      <c r="L18" s="21">
        <f>MAX((L5+L16),0)</f>
        <v>0</v>
      </c>
      <c r="M18" s="21"/>
      <c r="N18" s="21">
        <f>MAX((N5+N16),0)</f>
        <v>1731.2519495293311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0.16563863934042883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925.78251384234466</v>
      </c>
      <c r="C22" s="23">
        <f ca="1">C18*C20</f>
        <v>0</v>
      </c>
      <c r="D22" s="23">
        <f>D18*D20</f>
        <v>331.72424648000003</v>
      </c>
      <c r="E22" s="23">
        <f>E18*E20</f>
        <v>105.89645230167477</v>
      </c>
      <c r="F22" s="23">
        <f>F18*F20</f>
        <v>1546.5921225603574</v>
      </c>
      <c r="G22" s="23"/>
      <c r="H22" s="23"/>
      <c r="I22" s="23"/>
      <c r="J22" s="23">
        <f>J18*J20</f>
        <v>19.485813781214361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1039.0740000000001</v>
      </c>
      <c r="C30" s="39">
        <f>IF(ISERROR(B30*3.6/1000000/'E Balans VL '!Z18*100),0,B30*3.6/1000000/'E Balans VL '!Z18*100)</f>
        <v>0.1454357324764092</v>
      </c>
      <c r="D30" s="237" t="s">
        <v>692</v>
      </c>
    </row>
    <row r="31" spans="1:18">
      <c r="A31" s="6" t="s">
        <v>33</v>
      </c>
      <c r="B31" s="37">
        <f>IF( ISERROR(IND_ander_ele_kWh/1000),0,IND_ander_ele_kWh/1000)</f>
        <v>1503.4349999999999</v>
      </c>
      <c r="C31" s="39">
        <f>IF(ISERROR(B31*3.6/1000000/'E Balans VL '!Z19*100),0,B31*3.6/1000000/'E Balans VL '!Z19*100)</f>
        <v>6.5805106058192231E-2</v>
      </c>
      <c r="D31" s="237" t="s">
        <v>692</v>
      </c>
    </row>
    <row r="32" spans="1:18">
      <c r="A32" s="171" t="s">
        <v>41</v>
      </c>
      <c r="B32" s="37">
        <f>IF( ISERROR(IND_voed_ele_kWh/1000),0,IND_voed_ele_kWh/1000)</f>
        <v>2249.953</v>
      </c>
      <c r="C32" s="39">
        <f>IF(ISERROR(B32*3.6/1000000/'E Balans VL '!Z20*100),0,B32*3.6/1000000/'E Balans VL '!Z20*100)</f>
        <v>0.55701364554633437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698.66600000000005</v>
      </c>
      <c r="C34" s="39">
        <f>IF(ISERROR(B34*3.6/1000000/'E Balans VL '!Z22*100),0,B34*3.6/1000000/'E Balans VL '!Z22*100)</f>
        <v>1.9825290675913418E-2</v>
      </c>
      <c r="D34" s="237" t="s">
        <v>692</v>
      </c>
    </row>
    <row r="35" spans="1:5">
      <c r="A35" s="171" t="s">
        <v>39</v>
      </c>
      <c r="B35" s="37">
        <f>IF( ISERROR(IND_papier_ele_kWh/1000),0,IND_papier_ele_kWh/1000)</f>
        <v>59.911999999999999</v>
      </c>
      <c r="C35" s="39">
        <f>IF(ISERROR(B35*3.6/1000000/'E Balans VL '!Z22*100),0,B35*3.6/1000000/'E Balans VL '!Z22*100)</f>
        <v>1.7000581321766402E-3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38.130000000000003</v>
      </c>
      <c r="C37" s="39">
        <f>IF(ISERROR(B37*3.6/1000000/'E Balans VL '!Z15*100),0,B37*3.6/1000000/'E Balans VL '!Z15*100)</f>
        <v>2.8272742186775262E-4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3211.471</v>
      </c>
      <c r="C5" s="17">
        <f>'Eigen informatie GS &amp; warmtenet'!B60</f>
        <v>0</v>
      </c>
      <c r="D5" s="30">
        <f>IF(ISERROR(SUM(LB_lb_gas_kWh,LB_rest_gas_kWh,onbekend_gas_kWh)/1000),0,SUM(LB_lb_gas_kWh,LB_rest_gas_kWh,onbekend_gas_kWh)/1000)*0.902</f>
        <v>2366.2147959999998</v>
      </c>
      <c r="E5" s="17">
        <f>B17*'E Balans VL '!I25/3.6*1000000/100</f>
        <v>29.745989489697845</v>
      </c>
      <c r="F5" s="17">
        <f>B17*('E Balans VL '!L25/3.6*1000000+'E Balans VL '!N25/3.6*1000000)/100</f>
        <v>8148.1137115976735</v>
      </c>
      <c r="G5" s="18"/>
      <c r="H5" s="17"/>
      <c r="I5" s="17"/>
      <c r="J5" s="17">
        <f>('E Balans VL '!D25+'E Balans VL '!E25)/3.6*1000000*landbouw!B17/100</f>
        <v>492.35434442096283</v>
      </c>
      <c r="K5" s="17"/>
      <c r="L5" s="17">
        <f>L6*(-1)</f>
        <v>0</v>
      </c>
      <c r="M5" s="17"/>
      <c r="N5" s="17">
        <f>N6*(-1)</f>
        <v>12857.142857142859</v>
      </c>
      <c r="O5" s="17"/>
      <c r="P5" s="17"/>
      <c r="R5" s="32"/>
    </row>
    <row r="6" spans="1:18">
      <c r="A6" s="16" t="s">
        <v>494</v>
      </c>
      <c r="B6" s="17" t="s">
        <v>211</v>
      </c>
      <c r="C6" s="17">
        <f>'lokale energieproductie'!O91+'lokale energieproductie'!O60</f>
        <v>6428.5714285714284</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-12857.142857142859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3211.471</v>
      </c>
      <c r="C8" s="21">
        <f>C5+C6</f>
        <v>6428.5714285714284</v>
      </c>
      <c r="D8" s="21">
        <f>MAX((D5+D6),0)</f>
        <v>2366.2147959999998</v>
      </c>
      <c r="E8" s="21">
        <f>MAX((E5+E6),0)</f>
        <v>29.745989489697845</v>
      </c>
      <c r="F8" s="21">
        <f>MAX((F5+F6),0)</f>
        <v>8148.1137115976735</v>
      </c>
      <c r="G8" s="21"/>
      <c r="H8" s="21"/>
      <c r="I8" s="21"/>
      <c r="J8" s="21">
        <f>MAX((J5+J6),0)</f>
        <v>492.35434442096283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0.16563863934042883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531.94368672124631</v>
      </c>
      <c r="C12" s="23">
        <f ca="1">C8*C10</f>
        <v>0</v>
      </c>
      <c r="D12" s="23">
        <f>D8*D10</f>
        <v>477.97538879199999</v>
      </c>
      <c r="E12" s="23">
        <f>E8*E10</f>
        <v>6.7523396141614107</v>
      </c>
      <c r="F12" s="23">
        <f>F8*F10</f>
        <v>2175.5463609965791</v>
      </c>
      <c r="G12" s="23"/>
      <c r="H12" s="23"/>
      <c r="I12" s="23"/>
      <c r="J12" s="23">
        <f>J8*J10</f>
        <v>174.29343792502084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0.45660308124465027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150.17359337008608</v>
      </c>
      <c r="C26" s="247">
        <f>B26*'GWP N2O_CH4'!B5</f>
        <v>3153.6454607718078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36.51681214950446</v>
      </c>
      <c r="C27" s="247">
        <f>B27*'GWP N2O_CH4'!B5</f>
        <v>766.85305513959361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2.6324535555730799</v>
      </c>
      <c r="C28" s="247">
        <f>B28*'GWP N2O_CH4'!B4</f>
        <v>816.06060222765473</v>
      </c>
      <c r="D28" s="50"/>
    </row>
    <row r="29" spans="1:4">
      <c r="A29" s="41" t="s">
        <v>277</v>
      </c>
      <c r="B29" s="247">
        <f>B34*'ha_N2O bodem landbouw'!B4</f>
        <v>14.967338740699583</v>
      </c>
      <c r="C29" s="247">
        <f>B29*'GWP N2O_CH4'!B4</f>
        <v>4639.8750096168706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3.3569103952869632E-3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3.6424383728430991E-5</v>
      </c>
      <c r="C5" s="464" t="s">
        <v>211</v>
      </c>
      <c r="D5" s="449">
        <f>SUM(D6:D11)</f>
        <v>1.0109406875901532E-4</v>
      </c>
      <c r="E5" s="449">
        <f>SUM(E6:E11)</f>
        <v>6.3880992677689639E-4</v>
      </c>
      <c r="F5" s="462" t="s">
        <v>211</v>
      </c>
      <c r="G5" s="449">
        <f>SUM(G6:G11)</f>
        <v>0.19247128603093383</v>
      </c>
      <c r="H5" s="449">
        <f>SUM(H6:H11)</f>
        <v>3.8079608629433E-2</v>
      </c>
      <c r="I5" s="464" t="s">
        <v>211</v>
      </c>
      <c r="J5" s="464" t="s">
        <v>211</v>
      </c>
      <c r="K5" s="464" t="s">
        <v>211</v>
      </c>
      <c r="L5" s="464" t="s">
        <v>211</v>
      </c>
      <c r="M5" s="449">
        <f>SUM(M6:M11)</f>
        <v>1.2305822351151904E-2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2.6953372352928436E-5</v>
      </c>
      <c r="C6" s="450"/>
      <c r="D6" s="963">
        <f>vkm_2011_GW_PW*SUMIFS(TableVerdeelsleutelVkm[CNG],TableVerdeelsleutelVkm[Voertuigtype],"Lichte voertuigen")*SUMIFS(TableECFTransport[EnergieConsumptieFactor (PJ per km)],TableECFTransport[Index],CONCATENATE($A6,"_CNG_CNG"))</f>
        <v>6.2346117695694108E-5</v>
      </c>
      <c r="E6" s="963">
        <f>vkm_2011_GW_PW*SUMIFS(TableVerdeelsleutelVkm[LPG],TableVerdeelsleutelVkm[Voertuigtype],"Lichte voertuigen")*SUMIFS(TableECFTransport[EnergieConsumptieFactor (PJ per km)],TableECFTransport[Index],CONCATENATE($A6,"_LPG_LPG"))</f>
        <v>4.0596026866847941E-4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8.433524241223557E-2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2.3772361996153395E-2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5.6102242463467074E-3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5.5769760314203491E-2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1.9072245201430537E-5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3.2265967515239611E-3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9.4710113755025513E-6</v>
      </c>
      <c r="C8" s="450"/>
      <c r="D8" s="452">
        <f>vkm_2011_NGW_PW*SUMIFS(TableVerdeelsleutelVkm[CNG],TableVerdeelsleutelVkm[Voertuigtype],"Lichte voertuigen")*SUMIFS(TableECFTransport[EnergieConsumptieFactor (PJ per km)],TableECFTransport[Index],CONCATENATE($A8,"_CNG_CNG"))</f>
        <v>3.874795106332121E-5</v>
      </c>
      <c r="E8" s="452">
        <f>vkm_2011_NGW_PW*SUMIFS(TableVerdeelsleutelVkm[LPG],TableVerdeelsleutelVkm[Voertuigtype],"Lichte voertuigen")*SUMIFS(TableECFTransport[EnergieConsumptieFactor (PJ per km)],TableECFTransport[Index],CONCATENATE($A8,"_LPG_LPG"))</f>
        <v>2.32849658108417E-4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4.5219061533482423E-2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1.4285861630368813E-2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3.0554981086498255E-3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7.1472217710123404E-3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2.3127577093665263E-6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4.1350324463140982E-4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10.117884369008609</v>
      </c>
      <c r="C14" s="21"/>
      <c r="D14" s="21">
        <f t="shared" ref="D14:M14" si="0">((D5)*10^9/3600)+D12</f>
        <v>28.081685766393147</v>
      </c>
      <c r="E14" s="21">
        <f t="shared" si="0"/>
        <v>177.44720188247121</v>
      </c>
      <c r="F14" s="21"/>
      <c r="G14" s="21">
        <f t="shared" si="0"/>
        <v>53464.246119703843</v>
      </c>
      <c r="H14" s="21">
        <f t="shared" si="0"/>
        <v>10577.669063731388</v>
      </c>
      <c r="I14" s="21"/>
      <c r="J14" s="21"/>
      <c r="K14" s="21"/>
      <c r="L14" s="21"/>
      <c r="M14" s="21">
        <f t="shared" si="0"/>
        <v>3418.2839864310845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0.16563863934042883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1.6759125998863793</v>
      </c>
      <c r="C18" s="23"/>
      <c r="D18" s="23">
        <f t="shared" ref="D18:M18" si="1">D14*D16</f>
        <v>5.672500524811416</v>
      </c>
      <c r="E18" s="23">
        <f t="shared" si="1"/>
        <v>40.280514827320964</v>
      </c>
      <c r="F18" s="23"/>
      <c r="G18" s="23">
        <f t="shared" si="1"/>
        <v>14274.953713960927</v>
      </c>
      <c r="H18" s="23">
        <f t="shared" si="1"/>
        <v>2633.8395968691157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3.9102112814710689E-3</v>
      </c>
      <c r="H50" s="321">
        <f t="shared" si="2"/>
        <v>0</v>
      </c>
      <c r="I50" s="321">
        <f t="shared" si="2"/>
        <v>0</v>
      </c>
      <c r="J50" s="321">
        <f t="shared" si="2"/>
        <v>0</v>
      </c>
      <c r="K50" s="321">
        <f t="shared" si="2"/>
        <v>0</v>
      </c>
      <c r="L50" s="321">
        <f t="shared" si="2"/>
        <v>0</v>
      </c>
      <c r="M50" s="321">
        <f t="shared" si="2"/>
        <v>2.2298795050064486E-4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3.9102112814710689E-3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2.2298795050064486E-4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1086.1698004086302</v>
      </c>
      <c r="H54" s="21">
        <f t="shared" si="3"/>
        <v>0</v>
      </c>
      <c r="I54" s="21">
        <f t="shared" si="3"/>
        <v>0</v>
      </c>
      <c r="J54" s="21">
        <f t="shared" si="3"/>
        <v>0</v>
      </c>
      <c r="K54" s="21">
        <f t="shared" si="3"/>
        <v>0</v>
      </c>
      <c r="L54" s="21">
        <f t="shared" si="3"/>
        <v>0</v>
      </c>
      <c r="M54" s="21">
        <f t="shared" si="3"/>
        <v>61.94109736129024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0.16563863934042883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290.00733670910427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7010.290095110041</v>
      </c>
      <c r="C6" s="1216"/>
      <c r="D6" s="1201"/>
      <c r="E6" s="1201"/>
      <c r="F6" s="1219"/>
      <c r="G6" s="1222"/>
      <c r="H6" s="1213"/>
      <c r="I6" s="1201"/>
      <c r="J6" s="1201"/>
      <c r="K6" s="1201"/>
      <c r="L6" s="1205"/>
      <c r="M6" s="576"/>
      <c r="N6" s="1179"/>
      <c r="O6" s="1180"/>
      <c r="Q6" s="574"/>
      <c r="R6" s="1167"/>
      <c r="S6" s="1167"/>
    </row>
    <row r="7" spans="1:19" s="564" customFormat="1">
      <c r="A7" s="577" t="s">
        <v>252</v>
      </c>
      <c r="B7" s="578">
        <f>N57</f>
        <v>4500</v>
      </c>
      <c r="C7" s="579">
        <f>B100</f>
        <v>0</v>
      </c>
      <c r="D7" s="580"/>
      <c r="E7" s="580">
        <f>E100</f>
        <v>0</v>
      </c>
      <c r="F7" s="581"/>
      <c r="G7" s="582"/>
      <c r="H7" s="580">
        <f>I100</f>
        <v>0</v>
      </c>
      <c r="I7" s="580">
        <f>G100+F100</f>
        <v>0</v>
      </c>
      <c r="J7" s="580">
        <f>H100+D100+C100</f>
        <v>5294.1176470588243</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11510.290095110042</v>
      </c>
      <c r="C9" s="595">
        <f t="shared" ref="C9:L9" si="0">SUM(C7:C8)</f>
        <v>0</v>
      </c>
      <c r="D9" s="595">
        <f t="shared" si="0"/>
        <v>0</v>
      </c>
      <c r="E9" s="595">
        <f t="shared" si="0"/>
        <v>0</v>
      </c>
      <c r="F9" s="595">
        <f t="shared" si="0"/>
        <v>0</v>
      </c>
      <c r="G9" s="595">
        <f t="shared" si="0"/>
        <v>0</v>
      </c>
      <c r="H9" s="595">
        <f t="shared" si="0"/>
        <v>0</v>
      </c>
      <c r="I9" s="595">
        <f t="shared" si="0"/>
        <v>0</v>
      </c>
      <c r="J9" s="595">
        <f t="shared" si="0"/>
        <v>5294.1176470588243</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6428.5714285714284</v>
      </c>
      <c r="C16" s="611">
        <f>B101</f>
        <v>0</v>
      </c>
      <c r="D16" s="612"/>
      <c r="E16" s="612">
        <f>E101</f>
        <v>0</v>
      </c>
      <c r="F16" s="613"/>
      <c r="G16" s="614"/>
      <c r="H16" s="611">
        <f>I101</f>
        <v>0</v>
      </c>
      <c r="I16" s="612">
        <f>G101+F101</f>
        <v>0</v>
      </c>
      <c r="J16" s="612">
        <f>H101+D101+C101</f>
        <v>7563.0252100840344</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6428.5714285714284</v>
      </c>
      <c r="C19" s="594">
        <f>SUM(C16:C18)</f>
        <v>0</v>
      </c>
      <c r="D19" s="594">
        <f t="shared" ref="D19:M19" si="1">SUM(D16:D18)</f>
        <v>0</v>
      </c>
      <c r="E19" s="594">
        <f t="shared" si="1"/>
        <v>0</v>
      </c>
      <c r="F19" s="594">
        <f t="shared" si="1"/>
        <v>0</v>
      </c>
      <c r="G19" s="594">
        <f t="shared" si="1"/>
        <v>0</v>
      </c>
      <c r="H19" s="594">
        <f t="shared" si="1"/>
        <v>0</v>
      </c>
      <c r="I19" s="594">
        <f t="shared" si="1"/>
        <v>0</v>
      </c>
      <c r="J19" s="594">
        <f t="shared" si="1"/>
        <v>7563.0252100840344</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71024</v>
      </c>
      <c r="C27" s="852">
        <v>3540</v>
      </c>
      <c r="D27" s="673" t="s">
        <v>834</v>
      </c>
      <c r="E27" s="672" t="s">
        <v>835</v>
      </c>
      <c r="F27" s="672" t="s">
        <v>836</v>
      </c>
      <c r="G27" s="672" t="s">
        <v>837</v>
      </c>
      <c r="H27" s="672" t="s">
        <v>838</v>
      </c>
      <c r="I27" s="672" t="s">
        <v>835</v>
      </c>
      <c r="J27" s="851">
        <v>40444</v>
      </c>
      <c r="K27" s="851">
        <v>40444</v>
      </c>
      <c r="L27" s="672" t="s">
        <v>839</v>
      </c>
      <c r="M27" s="672">
        <v>1000</v>
      </c>
      <c r="N27" s="672">
        <v>4500</v>
      </c>
      <c r="O27" s="672">
        <v>6428.5714285714284</v>
      </c>
      <c r="P27" s="672">
        <v>0</v>
      </c>
      <c r="Q27" s="672">
        <v>12857.142857142859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1000</v>
      </c>
      <c r="N57" s="630">
        <f>SUM(N27:N56)</f>
        <v>4500</v>
      </c>
      <c r="O57" s="630">
        <f t="shared" ref="O57:W57" si="2">SUM(O27:O56)</f>
        <v>6428.5714285714284</v>
      </c>
      <c r="P57" s="630">
        <f t="shared" si="2"/>
        <v>0</v>
      </c>
      <c r="Q57" s="630">
        <f t="shared" si="2"/>
        <v>12857.142857142859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1000</v>
      </c>
      <c r="N60" s="635">
        <f t="shared" ref="N60:W60" si="4">SUMIF($Z$27:$Z$56,"landbouw",N27:N56)</f>
        <v>4500</v>
      </c>
      <c r="O60" s="635">
        <f t="shared" si="4"/>
        <v>6428.5714285714284</v>
      </c>
      <c r="P60" s="635">
        <f t="shared" si="4"/>
        <v>0</v>
      </c>
      <c r="Q60" s="635">
        <f t="shared" si="4"/>
        <v>12857.142857142859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5294.1176470588243</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7563.0252100840344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14360.953</v>
      </c>
      <c r="D10" s="719">
        <f ca="1">tertiair!C16</f>
        <v>0</v>
      </c>
      <c r="E10" s="719">
        <f ca="1">tertiair!D16</f>
        <v>9146.0319500000005</v>
      </c>
      <c r="F10" s="719">
        <f>tertiair!E16</f>
        <v>107.30594790453365</v>
      </c>
      <c r="G10" s="719">
        <f ca="1">tertiair!F16</f>
        <v>1915.4489381405128</v>
      </c>
      <c r="H10" s="719">
        <f>tertiair!G16</f>
        <v>0</v>
      </c>
      <c r="I10" s="719">
        <f>tertiair!H16</f>
        <v>0</v>
      </c>
      <c r="J10" s="719">
        <f>tertiair!I16</f>
        <v>0</v>
      </c>
      <c r="K10" s="719">
        <f>tertiair!J16</f>
        <v>0</v>
      </c>
      <c r="L10" s="719">
        <f>tertiair!K16</f>
        <v>0</v>
      </c>
      <c r="M10" s="719">
        <f ca="1">tertiair!L16</f>
        <v>0</v>
      </c>
      <c r="N10" s="719">
        <f>tertiair!M16</f>
        <v>0</v>
      </c>
      <c r="O10" s="719">
        <f ca="1">tertiair!N16</f>
        <v>735.72528154659915</v>
      </c>
      <c r="P10" s="719">
        <f>tertiair!O16</f>
        <v>4.6900000000000004</v>
      </c>
      <c r="Q10" s="720">
        <f>tertiair!P16</f>
        <v>38.133333333333333</v>
      </c>
      <c r="R10" s="722">
        <f ca="1">SUM(C10:Q10)</f>
        <v>26308.288450924978</v>
      </c>
      <c r="S10" s="67"/>
    </row>
    <row r="11" spans="1:19" s="475" customFormat="1">
      <c r="A11" s="871" t="s">
        <v>225</v>
      </c>
      <c r="B11" s="876"/>
      <c r="C11" s="719">
        <f>huishoudens!B8</f>
        <v>22776.835635290605</v>
      </c>
      <c r="D11" s="719">
        <f>huishoudens!C8</f>
        <v>0</v>
      </c>
      <c r="E11" s="719">
        <f>huishoudens!D8</f>
        <v>30696.421117999998</v>
      </c>
      <c r="F11" s="719">
        <f>huishoudens!E8</f>
        <v>669.12759233048905</v>
      </c>
      <c r="G11" s="719">
        <f>huishoudens!F8</f>
        <v>46731.936927867224</v>
      </c>
      <c r="H11" s="719">
        <f>huishoudens!G8</f>
        <v>0</v>
      </c>
      <c r="I11" s="719">
        <f>huishoudens!H8</f>
        <v>0</v>
      </c>
      <c r="J11" s="719">
        <f>huishoudens!I8</f>
        <v>0</v>
      </c>
      <c r="K11" s="719">
        <f>huishoudens!J8</f>
        <v>0</v>
      </c>
      <c r="L11" s="719">
        <f>huishoudens!K8</f>
        <v>0</v>
      </c>
      <c r="M11" s="719">
        <f>huishoudens!L8</f>
        <v>0</v>
      </c>
      <c r="N11" s="719">
        <f>huishoudens!M8</f>
        <v>0</v>
      </c>
      <c r="O11" s="719">
        <f>huishoudens!N8</f>
        <v>9787.5242175033909</v>
      </c>
      <c r="P11" s="719">
        <f>huishoudens!O8</f>
        <v>239.19000000000003</v>
      </c>
      <c r="Q11" s="720">
        <f>huishoudens!P8</f>
        <v>648.26666666666665</v>
      </c>
      <c r="R11" s="722">
        <f>SUM(C11:Q11)</f>
        <v>111549.30215765837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5589.17</v>
      </c>
      <c r="D13" s="719">
        <f>industrie!C18</f>
        <v>0</v>
      </c>
      <c r="E13" s="719">
        <f>industrie!D18</f>
        <v>1642.1992400000001</v>
      </c>
      <c r="F13" s="719">
        <f>industrie!E18</f>
        <v>466.50419516156285</v>
      </c>
      <c r="G13" s="719">
        <f>industrie!F18</f>
        <v>5792.4798597766194</v>
      </c>
      <c r="H13" s="719">
        <f>industrie!G18</f>
        <v>0</v>
      </c>
      <c r="I13" s="719">
        <f>industrie!H18</f>
        <v>0</v>
      </c>
      <c r="J13" s="719">
        <f>industrie!I18</f>
        <v>0</v>
      </c>
      <c r="K13" s="719">
        <f>industrie!J18</f>
        <v>55.04467169834566</v>
      </c>
      <c r="L13" s="719">
        <f>industrie!K18</f>
        <v>0</v>
      </c>
      <c r="M13" s="719">
        <f>industrie!L18</f>
        <v>0</v>
      </c>
      <c r="N13" s="719">
        <f>industrie!M18</f>
        <v>0</v>
      </c>
      <c r="O13" s="719">
        <f>industrie!N18</f>
        <v>1731.2519495293311</v>
      </c>
      <c r="P13" s="719">
        <f>industrie!O18</f>
        <v>0</v>
      </c>
      <c r="Q13" s="720">
        <f>industrie!P18</f>
        <v>0</v>
      </c>
      <c r="R13" s="722">
        <f>SUM(C13:Q13)</f>
        <v>15276.649916165859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42726.958635290604</v>
      </c>
      <c r="D15" s="724">
        <f t="shared" ref="D15:Q15" ca="1" si="0">SUM(D9:D14)</f>
        <v>0</v>
      </c>
      <c r="E15" s="724">
        <f t="shared" ca="1" si="0"/>
        <v>41484.652308000004</v>
      </c>
      <c r="F15" s="724">
        <f t="shared" si="0"/>
        <v>1242.9377353965856</v>
      </c>
      <c r="G15" s="724">
        <f t="shared" ca="1" si="0"/>
        <v>54439.865725784359</v>
      </c>
      <c r="H15" s="724">
        <f t="shared" si="0"/>
        <v>0</v>
      </c>
      <c r="I15" s="724">
        <f t="shared" si="0"/>
        <v>0</v>
      </c>
      <c r="J15" s="724">
        <f t="shared" si="0"/>
        <v>0</v>
      </c>
      <c r="K15" s="724">
        <f t="shared" si="0"/>
        <v>55.04467169834566</v>
      </c>
      <c r="L15" s="724">
        <f t="shared" si="0"/>
        <v>0</v>
      </c>
      <c r="M15" s="724">
        <f t="shared" ca="1" si="0"/>
        <v>0</v>
      </c>
      <c r="N15" s="724">
        <f t="shared" si="0"/>
        <v>0</v>
      </c>
      <c r="O15" s="724">
        <f t="shared" ca="1" si="0"/>
        <v>12254.501448579322</v>
      </c>
      <c r="P15" s="724">
        <f t="shared" si="0"/>
        <v>243.88000000000002</v>
      </c>
      <c r="Q15" s="725">
        <f t="shared" si="0"/>
        <v>686.4</v>
      </c>
      <c r="R15" s="726">
        <f ca="1">SUM(R9:R14)</f>
        <v>153134.24052474921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1086.1698004086302</v>
      </c>
      <c r="I18" s="719">
        <f>transport!H54</f>
        <v>0</v>
      </c>
      <c r="J18" s="719">
        <f>transport!I54</f>
        <v>0</v>
      </c>
      <c r="K18" s="719">
        <f>transport!J54</f>
        <v>0</v>
      </c>
      <c r="L18" s="719">
        <f>transport!K54</f>
        <v>0</v>
      </c>
      <c r="M18" s="719">
        <f>transport!L54</f>
        <v>0</v>
      </c>
      <c r="N18" s="719">
        <f>transport!M54</f>
        <v>61.94109736129024</v>
      </c>
      <c r="O18" s="719">
        <f>transport!N54</f>
        <v>0</v>
      </c>
      <c r="P18" s="719">
        <f>transport!O54</f>
        <v>0</v>
      </c>
      <c r="Q18" s="720">
        <f>transport!P54</f>
        <v>0</v>
      </c>
      <c r="R18" s="722">
        <f>SUM(C18:Q18)</f>
        <v>1148.1108977699205</v>
      </c>
      <c r="S18" s="67"/>
    </row>
    <row r="19" spans="1:19" s="475" customFormat="1" ht="15" thickBot="1">
      <c r="A19" s="871" t="s">
        <v>307</v>
      </c>
      <c r="B19" s="876"/>
      <c r="C19" s="728">
        <f>transport!B14</f>
        <v>10.117884369008609</v>
      </c>
      <c r="D19" s="728">
        <f>transport!C14</f>
        <v>0</v>
      </c>
      <c r="E19" s="728">
        <f>transport!D14</f>
        <v>28.081685766393147</v>
      </c>
      <c r="F19" s="728">
        <f>transport!E14</f>
        <v>177.44720188247121</v>
      </c>
      <c r="G19" s="728">
        <f>transport!F14</f>
        <v>0</v>
      </c>
      <c r="H19" s="728">
        <f>transport!G14</f>
        <v>53464.246119703843</v>
      </c>
      <c r="I19" s="728">
        <f>transport!H14</f>
        <v>10577.669063731388</v>
      </c>
      <c r="J19" s="728">
        <f>transport!I14</f>
        <v>0</v>
      </c>
      <c r="K19" s="728">
        <f>transport!J14</f>
        <v>0</v>
      </c>
      <c r="L19" s="728">
        <f>transport!K14</f>
        <v>0</v>
      </c>
      <c r="M19" s="728">
        <f>transport!L14</f>
        <v>0</v>
      </c>
      <c r="N19" s="728">
        <f>transport!M14</f>
        <v>3418.2839864310845</v>
      </c>
      <c r="O19" s="728">
        <f>transport!N14</f>
        <v>0</v>
      </c>
      <c r="P19" s="728">
        <f>transport!O14</f>
        <v>0</v>
      </c>
      <c r="Q19" s="729">
        <f>transport!P14</f>
        <v>0</v>
      </c>
      <c r="R19" s="730">
        <f>SUM(C19:Q19)</f>
        <v>67675.845941884181</v>
      </c>
      <c r="S19" s="67"/>
    </row>
    <row r="20" spans="1:19" s="475" customFormat="1" ht="15.75" thickBot="1">
      <c r="A20" s="731" t="s">
        <v>230</v>
      </c>
      <c r="B20" s="879"/>
      <c r="C20" s="874">
        <f>SUM(C17:C19)</f>
        <v>10.117884369008609</v>
      </c>
      <c r="D20" s="732">
        <f t="shared" ref="D20:R20" si="1">SUM(D17:D19)</f>
        <v>0</v>
      </c>
      <c r="E20" s="732">
        <f t="shared" si="1"/>
        <v>28.081685766393147</v>
      </c>
      <c r="F20" s="732">
        <f t="shared" si="1"/>
        <v>177.44720188247121</v>
      </c>
      <c r="G20" s="732">
        <f t="shared" si="1"/>
        <v>0</v>
      </c>
      <c r="H20" s="732">
        <f t="shared" si="1"/>
        <v>54550.415920112471</v>
      </c>
      <c r="I20" s="732">
        <f t="shared" si="1"/>
        <v>10577.669063731388</v>
      </c>
      <c r="J20" s="732">
        <f t="shared" si="1"/>
        <v>0</v>
      </c>
      <c r="K20" s="732">
        <f t="shared" si="1"/>
        <v>0</v>
      </c>
      <c r="L20" s="732">
        <f t="shared" si="1"/>
        <v>0</v>
      </c>
      <c r="M20" s="732">
        <f t="shared" si="1"/>
        <v>0</v>
      </c>
      <c r="N20" s="732">
        <f t="shared" si="1"/>
        <v>3480.2250837923748</v>
      </c>
      <c r="O20" s="732">
        <f t="shared" si="1"/>
        <v>0</v>
      </c>
      <c r="P20" s="732">
        <f t="shared" si="1"/>
        <v>0</v>
      </c>
      <c r="Q20" s="733">
        <f t="shared" si="1"/>
        <v>0</v>
      </c>
      <c r="R20" s="734">
        <f t="shared" si="1"/>
        <v>68823.9568396541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3211.471</v>
      </c>
      <c r="D22" s="728">
        <f>+landbouw!C8</f>
        <v>6428.5714285714284</v>
      </c>
      <c r="E22" s="728">
        <f>+landbouw!D8</f>
        <v>2366.2147959999998</v>
      </c>
      <c r="F22" s="728">
        <f>+landbouw!E8</f>
        <v>29.745989489697845</v>
      </c>
      <c r="G22" s="728">
        <f>+landbouw!F8</f>
        <v>8148.1137115976735</v>
      </c>
      <c r="H22" s="728">
        <f>+landbouw!G8</f>
        <v>0</v>
      </c>
      <c r="I22" s="728">
        <f>+landbouw!H8</f>
        <v>0</v>
      </c>
      <c r="J22" s="728">
        <f>+landbouw!I8</f>
        <v>0</v>
      </c>
      <c r="K22" s="728">
        <f>+landbouw!J8</f>
        <v>492.35434442096283</v>
      </c>
      <c r="L22" s="728">
        <f>+landbouw!K8</f>
        <v>0</v>
      </c>
      <c r="M22" s="728">
        <f>+landbouw!L8</f>
        <v>0</v>
      </c>
      <c r="N22" s="728">
        <f>+landbouw!M8</f>
        <v>0</v>
      </c>
      <c r="O22" s="728">
        <f>+landbouw!N8</f>
        <v>0</v>
      </c>
      <c r="P22" s="728">
        <f>+landbouw!O8</f>
        <v>0</v>
      </c>
      <c r="Q22" s="729">
        <f>+landbouw!P8</f>
        <v>0</v>
      </c>
      <c r="R22" s="730">
        <f>SUM(C22:Q22)</f>
        <v>20676.471270079765</v>
      </c>
      <c r="S22" s="67"/>
    </row>
    <row r="23" spans="1:19" s="475" customFormat="1" ht="17.25" thickTop="1" thickBot="1">
      <c r="A23" s="735" t="s">
        <v>116</v>
      </c>
      <c r="B23" s="865"/>
      <c r="C23" s="736">
        <f ca="1">C20+C15+C22</f>
        <v>45948.547519659609</v>
      </c>
      <c r="D23" s="736">
        <f t="shared" ref="D23:Q23" ca="1" si="2">D20+D15+D22</f>
        <v>6428.5714285714284</v>
      </c>
      <c r="E23" s="736">
        <f t="shared" ca="1" si="2"/>
        <v>43878.9487897664</v>
      </c>
      <c r="F23" s="736">
        <f t="shared" si="2"/>
        <v>1450.1309267687548</v>
      </c>
      <c r="G23" s="736">
        <f t="shared" ca="1" si="2"/>
        <v>62587.979437382033</v>
      </c>
      <c r="H23" s="736">
        <f t="shared" si="2"/>
        <v>54550.415920112471</v>
      </c>
      <c r="I23" s="736">
        <f t="shared" si="2"/>
        <v>10577.669063731388</v>
      </c>
      <c r="J23" s="736">
        <f t="shared" si="2"/>
        <v>0</v>
      </c>
      <c r="K23" s="736">
        <f t="shared" si="2"/>
        <v>547.3990161193085</v>
      </c>
      <c r="L23" s="736">
        <f t="shared" si="2"/>
        <v>0</v>
      </c>
      <c r="M23" s="736">
        <f t="shared" ca="1" si="2"/>
        <v>0</v>
      </c>
      <c r="N23" s="736">
        <f t="shared" si="2"/>
        <v>3480.2250837923748</v>
      </c>
      <c r="O23" s="736">
        <f t="shared" ca="1" si="2"/>
        <v>12254.501448579322</v>
      </c>
      <c r="P23" s="736">
        <f t="shared" si="2"/>
        <v>243.88000000000002</v>
      </c>
      <c r="Q23" s="737">
        <f t="shared" si="2"/>
        <v>686.4</v>
      </c>
      <c r="R23" s="738">
        <f ca="1">R20+R15+R22</f>
        <v>242634.66863448307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2378.7287145518494</v>
      </c>
      <c r="D36" s="719">
        <f ca="1">tertiair!C20</f>
        <v>0</v>
      </c>
      <c r="E36" s="719">
        <f ca="1">tertiair!D20</f>
        <v>1847.4984539000002</v>
      </c>
      <c r="F36" s="719">
        <f>tertiair!E20</f>
        <v>24.358450174329139</v>
      </c>
      <c r="G36" s="719">
        <f ca="1">tertiair!F20</f>
        <v>511.42486648351695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4762.0104851096949</v>
      </c>
    </row>
    <row r="37" spans="1:18">
      <c r="A37" s="886" t="s">
        <v>225</v>
      </c>
      <c r="B37" s="893"/>
      <c r="C37" s="719">
        <f ca="1">huishoudens!B12</f>
        <v>3772.7240631101276</v>
      </c>
      <c r="D37" s="719">
        <f ca="1">huishoudens!C12</f>
        <v>0</v>
      </c>
      <c r="E37" s="719">
        <f>huishoudens!D12</f>
        <v>6200.6770658360001</v>
      </c>
      <c r="F37" s="719">
        <f>huishoudens!E12</f>
        <v>151.89196345902101</v>
      </c>
      <c r="G37" s="719">
        <f>huishoudens!F12</f>
        <v>12477.42715974055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22602.720252145697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925.78251384234466</v>
      </c>
      <c r="D39" s="719">
        <f ca="1">industrie!C22</f>
        <v>0</v>
      </c>
      <c r="E39" s="719">
        <f>industrie!D22</f>
        <v>331.72424648000003</v>
      </c>
      <c r="F39" s="719">
        <f>industrie!E22</f>
        <v>105.89645230167477</v>
      </c>
      <c r="G39" s="719">
        <f>industrie!F22</f>
        <v>1546.5921225603574</v>
      </c>
      <c r="H39" s="719">
        <f>industrie!G22</f>
        <v>0</v>
      </c>
      <c r="I39" s="719">
        <f>industrie!H22</f>
        <v>0</v>
      </c>
      <c r="J39" s="719">
        <f>industrie!I22</f>
        <v>0</v>
      </c>
      <c r="K39" s="719">
        <f>industrie!J22</f>
        <v>19.485813781214361</v>
      </c>
      <c r="L39" s="719">
        <f>industrie!K22</f>
        <v>0</v>
      </c>
      <c r="M39" s="719">
        <f>industrie!L22</f>
        <v>0</v>
      </c>
      <c r="N39" s="719">
        <f>industrie!M22</f>
        <v>0</v>
      </c>
      <c r="O39" s="719">
        <f>industrie!N22</f>
        <v>0</v>
      </c>
      <c r="P39" s="719">
        <f>industrie!O22</f>
        <v>0</v>
      </c>
      <c r="Q39" s="829">
        <f>industrie!P22</f>
        <v>0</v>
      </c>
      <c r="R39" s="919">
        <f ca="1">SUM(C39:Q39)</f>
        <v>2929.4811489655913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7077.235291504322</v>
      </c>
      <c r="D41" s="764">
        <f t="shared" ref="D41:R41" ca="1" si="4">SUM(D35:D40)</f>
        <v>0</v>
      </c>
      <c r="E41" s="764">
        <f t="shared" ca="1" si="4"/>
        <v>8379.899766216</v>
      </c>
      <c r="F41" s="764">
        <f t="shared" si="4"/>
        <v>282.14686593502495</v>
      </c>
      <c r="G41" s="764">
        <f t="shared" ca="1" si="4"/>
        <v>14535.444148784425</v>
      </c>
      <c r="H41" s="764">
        <f t="shared" si="4"/>
        <v>0</v>
      </c>
      <c r="I41" s="764">
        <f t="shared" si="4"/>
        <v>0</v>
      </c>
      <c r="J41" s="764">
        <f t="shared" si="4"/>
        <v>0</v>
      </c>
      <c r="K41" s="764">
        <f t="shared" si="4"/>
        <v>19.485813781214361</v>
      </c>
      <c r="L41" s="764">
        <f t="shared" si="4"/>
        <v>0</v>
      </c>
      <c r="M41" s="764">
        <f t="shared" ca="1" si="4"/>
        <v>0</v>
      </c>
      <c r="N41" s="764">
        <f t="shared" si="4"/>
        <v>0</v>
      </c>
      <c r="O41" s="764">
        <f t="shared" ca="1" si="4"/>
        <v>0</v>
      </c>
      <c r="P41" s="764">
        <f t="shared" si="4"/>
        <v>0</v>
      </c>
      <c r="Q41" s="765">
        <f t="shared" si="4"/>
        <v>0</v>
      </c>
      <c r="R41" s="766">
        <f t="shared" ca="1" si="4"/>
        <v>30294.211886220983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290.00733670910427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290.00733670910427</v>
      </c>
    </row>
    <row r="45" spans="1:18" ht="15" thickBot="1">
      <c r="A45" s="889" t="s">
        <v>307</v>
      </c>
      <c r="B45" s="899"/>
      <c r="C45" s="728">
        <f ca="1">transport!B18</f>
        <v>1.6759125998863793</v>
      </c>
      <c r="D45" s="728">
        <f>transport!C18</f>
        <v>0</v>
      </c>
      <c r="E45" s="728">
        <f>transport!D18</f>
        <v>5.672500524811416</v>
      </c>
      <c r="F45" s="728">
        <f>transport!E18</f>
        <v>40.280514827320964</v>
      </c>
      <c r="G45" s="728">
        <f>transport!F18</f>
        <v>0</v>
      </c>
      <c r="H45" s="728">
        <f>transport!G18</f>
        <v>14274.953713960927</v>
      </c>
      <c r="I45" s="728">
        <f>transport!H18</f>
        <v>2633.8395968691157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16956.422238782063</v>
      </c>
    </row>
    <row r="46" spans="1:18" ht="15.75" thickBot="1">
      <c r="A46" s="887" t="s">
        <v>230</v>
      </c>
      <c r="B46" s="900"/>
      <c r="C46" s="764">
        <f t="shared" ref="C46:R46" ca="1" si="5">SUM(C43:C45)</f>
        <v>1.6759125998863793</v>
      </c>
      <c r="D46" s="764">
        <f t="shared" ca="1" si="5"/>
        <v>0</v>
      </c>
      <c r="E46" s="764">
        <f t="shared" si="5"/>
        <v>5.672500524811416</v>
      </c>
      <c r="F46" s="764">
        <f t="shared" si="5"/>
        <v>40.280514827320964</v>
      </c>
      <c r="G46" s="764">
        <f t="shared" si="5"/>
        <v>0</v>
      </c>
      <c r="H46" s="764">
        <f t="shared" si="5"/>
        <v>14564.961050670032</v>
      </c>
      <c r="I46" s="764">
        <f t="shared" si="5"/>
        <v>2633.8395968691157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17246.429575491165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531.94368672124631</v>
      </c>
      <c r="D48" s="719">
        <f ca="1">+landbouw!C12</f>
        <v>0</v>
      </c>
      <c r="E48" s="719">
        <f>+landbouw!D12</f>
        <v>477.97538879199999</v>
      </c>
      <c r="F48" s="719">
        <f>+landbouw!E12</f>
        <v>6.7523396141614107</v>
      </c>
      <c r="G48" s="719">
        <f>+landbouw!F12</f>
        <v>2175.5463609965791</v>
      </c>
      <c r="H48" s="719">
        <f>+landbouw!G12</f>
        <v>0</v>
      </c>
      <c r="I48" s="719">
        <f>+landbouw!H12</f>
        <v>0</v>
      </c>
      <c r="J48" s="719">
        <f>+landbouw!I12</f>
        <v>0</v>
      </c>
      <c r="K48" s="719">
        <f>+landbouw!J12</f>
        <v>174.29343792502084</v>
      </c>
      <c r="L48" s="719">
        <f>+landbouw!K12</f>
        <v>0</v>
      </c>
      <c r="M48" s="719">
        <f>+landbouw!L12</f>
        <v>0</v>
      </c>
      <c r="N48" s="719">
        <f>+landbouw!M12</f>
        <v>0</v>
      </c>
      <c r="O48" s="719">
        <f>+landbouw!N12</f>
        <v>0</v>
      </c>
      <c r="P48" s="719">
        <f>+landbouw!O12</f>
        <v>0</v>
      </c>
      <c r="Q48" s="720">
        <f>+landbouw!P12</f>
        <v>0</v>
      </c>
      <c r="R48" s="762">
        <f ca="1">SUM(C48:Q48)</f>
        <v>3366.5112140490078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7610.8548908254543</v>
      </c>
      <c r="D53" s="774">
        <f t="shared" ref="D53:Q53" ca="1" si="6">D41+D46+D48</f>
        <v>0</v>
      </c>
      <c r="E53" s="774">
        <f t="shared" ca="1" si="6"/>
        <v>8863.5476555328114</v>
      </c>
      <c r="F53" s="774">
        <f t="shared" si="6"/>
        <v>329.17972037650736</v>
      </c>
      <c r="G53" s="774">
        <f t="shared" ca="1" si="6"/>
        <v>16710.990509781004</v>
      </c>
      <c r="H53" s="774">
        <f t="shared" si="6"/>
        <v>14564.961050670032</v>
      </c>
      <c r="I53" s="774">
        <f t="shared" si="6"/>
        <v>2633.8395968691157</v>
      </c>
      <c r="J53" s="774">
        <f t="shared" si="6"/>
        <v>0</v>
      </c>
      <c r="K53" s="774">
        <f t="shared" si="6"/>
        <v>193.77925170623519</v>
      </c>
      <c r="L53" s="774">
        <f t="shared" si="6"/>
        <v>0</v>
      </c>
      <c r="M53" s="774">
        <f t="shared" ca="1" si="6"/>
        <v>0</v>
      </c>
      <c r="N53" s="774">
        <f t="shared" si="6"/>
        <v>0</v>
      </c>
      <c r="O53" s="774">
        <f t="shared" ca="1" si="6"/>
        <v>0</v>
      </c>
      <c r="P53" s="774">
        <f>P41+P46+P48</f>
        <v>0</v>
      </c>
      <c r="Q53" s="775">
        <f t="shared" si="6"/>
        <v>0</v>
      </c>
      <c r="R53" s="776">
        <f ca="1">R41+R46+R48</f>
        <v>50907.152675761157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0.16563863934042886</v>
      </c>
      <c r="D55" s="837">
        <f t="shared" ca="1" si="7"/>
        <v>0</v>
      </c>
      <c r="E55" s="837">
        <f t="shared" ca="1" si="7"/>
        <v>0.20199999999999996</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7010.290095110041</v>
      </c>
      <c r="C66" s="796">
        <f>'lokale energieproductie'!B6</f>
        <v>7010.290095110041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4500</v>
      </c>
      <c r="C67" s="795">
        <f>B67*IFERROR(SUM(J67:L67)/SUM(D67:M67),0)</f>
        <v>4500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5294.1176470588243</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11510.290095110042</v>
      </c>
      <c r="C69" s="804">
        <f>SUM(C64:C68)</f>
        <v>11510.290095110042</v>
      </c>
      <c r="D69" s="805">
        <f t="shared" ref="D69:M69" si="8">SUM(D67:D68)</f>
        <v>0</v>
      </c>
      <c r="E69" s="805">
        <f t="shared" si="8"/>
        <v>0</v>
      </c>
      <c r="F69" s="805">
        <f t="shared" si="8"/>
        <v>0</v>
      </c>
      <c r="G69" s="805">
        <f t="shared" si="8"/>
        <v>0</v>
      </c>
      <c r="H69" s="805">
        <f t="shared" si="8"/>
        <v>0</v>
      </c>
      <c r="I69" s="805">
        <f t="shared" si="8"/>
        <v>0</v>
      </c>
      <c r="J69" s="805">
        <f t="shared" si="8"/>
        <v>0</v>
      </c>
      <c r="K69" s="805">
        <f t="shared" si="8"/>
        <v>5294.1176470588243</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6428.5714285714284</v>
      </c>
      <c r="C78" s="818">
        <f>B78*IFERROR(SUM(I78:L78)/SUM(D78:M78),0)</f>
        <v>6428.5714285714284</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7563.0252100840344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6428.5714285714284</v>
      </c>
      <c r="C81" s="804">
        <f>SUM(C78:C80)</f>
        <v>6428.5714285714284</v>
      </c>
      <c r="D81" s="804">
        <f t="shared" ref="D81:P81" si="9">SUM(D78:D80)</f>
        <v>0</v>
      </c>
      <c r="E81" s="804">
        <f t="shared" si="9"/>
        <v>0</v>
      </c>
      <c r="F81" s="804">
        <f t="shared" si="9"/>
        <v>0</v>
      </c>
      <c r="G81" s="804">
        <f t="shared" si="9"/>
        <v>0</v>
      </c>
      <c r="H81" s="804">
        <f t="shared" si="9"/>
        <v>0</v>
      </c>
      <c r="I81" s="804">
        <f t="shared" si="9"/>
        <v>0</v>
      </c>
      <c r="J81" s="804">
        <f t="shared" si="9"/>
        <v>0</v>
      </c>
      <c r="K81" s="804">
        <f t="shared" si="9"/>
        <v>7563.0252100840344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22776.835635290605</v>
      </c>
      <c r="C4" s="479">
        <f>huishoudens!C8</f>
        <v>0</v>
      </c>
      <c r="D4" s="479">
        <f>huishoudens!D8</f>
        <v>30696.421117999998</v>
      </c>
      <c r="E4" s="479">
        <f>huishoudens!E8</f>
        <v>669.12759233048905</v>
      </c>
      <c r="F4" s="479">
        <f>huishoudens!F8</f>
        <v>46731.936927867224</v>
      </c>
      <c r="G4" s="479">
        <f>huishoudens!G8</f>
        <v>0</v>
      </c>
      <c r="H4" s="479">
        <f>huishoudens!H8</f>
        <v>0</v>
      </c>
      <c r="I4" s="479">
        <f>huishoudens!I8</f>
        <v>0</v>
      </c>
      <c r="J4" s="479">
        <f>huishoudens!J8</f>
        <v>0</v>
      </c>
      <c r="K4" s="479">
        <f>huishoudens!K8</f>
        <v>0</v>
      </c>
      <c r="L4" s="479">
        <f>huishoudens!L8</f>
        <v>0</v>
      </c>
      <c r="M4" s="479">
        <f>huishoudens!M8</f>
        <v>0</v>
      </c>
      <c r="N4" s="479">
        <f>huishoudens!N8</f>
        <v>9787.5242175033909</v>
      </c>
      <c r="O4" s="479">
        <f>huishoudens!O8</f>
        <v>239.19000000000003</v>
      </c>
      <c r="P4" s="480">
        <f>huishoudens!P8</f>
        <v>648.26666666666665</v>
      </c>
      <c r="Q4" s="481">
        <f>SUM(B4:P4)</f>
        <v>111549.30215765837</v>
      </c>
    </row>
    <row r="5" spans="1:17">
      <c r="A5" s="478" t="s">
        <v>156</v>
      </c>
      <c r="B5" s="479">
        <f ca="1">tertiair!B16</f>
        <v>13450.192999999999</v>
      </c>
      <c r="C5" s="479">
        <f ca="1">tertiair!C16</f>
        <v>0</v>
      </c>
      <c r="D5" s="479">
        <f ca="1">tertiair!D16</f>
        <v>9146.0319500000005</v>
      </c>
      <c r="E5" s="479">
        <f>tertiair!E16</f>
        <v>107.30594790453365</v>
      </c>
      <c r="F5" s="479">
        <f ca="1">tertiair!F16</f>
        <v>1915.4489381405128</v>
      </c>
      <c r="G5" s="479">
        <f>tertiair!G16</f>
        <v>0</v>
      </c>
      <c r="H5" s="479">
        <f>tertiair!H16</f>
        <v>0</v>
      </c>
      <c r="I5" s="479">
        <f>tertiair!I16</f>
        <v>0</v>
      </c>
      <c r="J5" s="479">
        <f>tertiair!J16</f>
        <v>0</v>
      </c>
      <c r="K5" s="479">
        <f>tertiair!K16</f>
        <v>0</v>
      </c>
      <c r="L5" s="479">
        <f ca="1">tertiair!L16</f>
        <v>0</v>
      </c>
      <c r="M5" s="479">
        <f>tertiair!M16</f>
        <v>0</v>
      </c>
      <c r="N5" s="479">
        <f ca="1">tertiair!N16</f>
        <v>735.72528154659915</v>
      </c>
      <c r="O5" s="479">
        <f>tertiair!O16</f>
        <v>4.6900000000000004</v>
      </c>
      <c r="P5" s="480">
        <f>tertiair!P16</f>
        <v>38.133333333333333</v>
      </c>
      <c r="Q5" s="478">
        <f t="shared" ref="Q5:Q13" ca="1" si="0">SUM(B5:P5)</f>
        <v>25397.528450924976</v>
      </c>
    </row>
    <row r="6" spans="1:17">
      <c r="A6" s="478" t="s">
        <v>194</v>
      </c>
      <c r="B6" s="479">
        <f>'openbare verlichting'!B8</f>
        <v>910.76</v>
      </c>
      <c r="C6" s="479"/>
      <c r="D6" s="479"/>
      <c r="E6" s="479"/>
      <c r="F6" s="479"/>
      <c r="G6" s="479"/>
      <c r="H6" s="479"/>
      <c r="I6" s="479"/>
      <c r="J6" s="479"/>
      <c r="K6" s="479"/>
      <c r="L6" s="479"/>
      <c r="M6" s="479"/>
      <c r="N6" s="479"/>
      <c r="O6" s="479"/>
      <c r="P6" s="480"/>
      <c r="Q6" s="478">
        <f t="shared" si="0"/>
        <v>910.76</v>
      </c>
    </row>
    <row r="7" spans="1:17">
      <c r="A7" s="478" t="s">
        <v>112</v>
      </c>
      <c r="B7" s="479">
        <f>landbouw!B8</f>
        <v>3211.471</v>
      </c>
      <c r="C7" s="479">
        <f>landbouw!C8</f>
        <v>6428.5714285714284</v>
      </c>
      <c r="D7" s="479">
        <f>landbouw!D8</f>
        <v>2366.2147959999998</v>
      </c>
      <c r="E7" s="479">
        <f>landbouw!E8</f>
        <v>29.745989489697845</v>
      </c>
      <c r="F7" s="479">
        <f>landbouw!F8</f>
        <v>8148.1137115976735</v>
      </c>
      <c r="G7" s="479">
        <f>landbouw!G8</f>
        <v>0</v>
      </c>
      <c r="H7" s="479">
        <f>landbouw!H8</f>
        <v>0</v>
      </c>
      <c r="I7" s="479">
        <f>landbouw!I8</f>
        <v>0</v>
      </c>
      <c r="J7" s="479">
        <f>landbouw!J8</f>
        <v>492.35434442096283</v>
      </c>
      <c r="K7" s="479">
        <f>landbouw!K8</f>
        <v>0</v>
      </c>
      <c r="L7" s="479">
        <f>landbouw!L8</f>
        <v>0</v>
      </c>
      <c r="M7" s="479">
        <f>landbouw!M8</f>
        <v>0</v>
      </c>
      <c r="N7" s="479">
        <f>landbouw!N8</f>
        <v>0</v>
      </c>
      <c r="O7" s="479">
        <f>landbouw!O8</f>
        <v>0</v>
      </c>
      <c r="P7" s="480">
        <f>landbouw!P8</f>
        <v>0</v>
      </c>
      <c r="Q7" s="478">
        <f t="shared" si="0"/>
        <v>20676.471270079765</v>
      </c>
    </row>
    <row r="8" spans="1:17">
      <c r="A8" s="478" t="s">
        <v>650</v>
      </c>
      <c r="B8" s="479">
        <f>industrie!B18</f>
        <v>5589.17</v>
      </c>
      <c r="C8" s="479">
        <f>industrie!C18</f>
        <v>0</v>
      </c>
      <c r="D8" s="479">
        <f>industrie!D18</f>
        <v>1642.1992400000001</v>
      </c>
      <c r="E8" s="479">
        <f>industrie!E18</f>
        <v>466.50419516156285</v>
      </c>
      <c r="F8" s="479">
        <f>industrie!F18</f>
        <v>5792.4798597766194</v>
      </c>
      <c r="G8" s="479">
        <f>industrie!G18</f>
        <v>0</v>
      </c>
      <c r="H8" s="479">
        <f>industrie!H18</f>
        <v>0</v>
      </c>
      <c r="I8" s="479">
        <f>industrie!I18</f>
        <v>0</v>
      </c>
      <c r="J8" s="479">
        <f>industrie!J18</f>
        <v>55.04467169834566</v>
      </c>
      <c r="K8" s="479">
        <f>industrie!K18</f>
        <v>0</v>
      </c>
      <c r="L8" s="479">
        <f>industrie!L18</f>
        <v>0</v>
      </c>
      <c r="M8" s="479">
        <f>industrie!M18</f>
        <v>0</v>
      </c>
      <c r="N8" s="479">
        <f>industrie!N18</f>
        <v>1731.2519495293311</v>
      </c>
      <c r="O8" s="479">
        <f>industrie!O18</f>
        <v>0</v>
      </c>
      <c r="P8" s="480">
        <f>industrie!P18</f>
        <v>0</v>
      </c>
      <c r="Q8" s="478">
        <f t="shared" si="0"/>
        <v>15276.649916165859</v>
      </c>
    </row>
    <row r="9" spans="1:17" s="484" customFormat="1">
      <c r="A9" s="482" t="s">
        <v>571</v>
      </c>
      <c r="B9" s="483">
        <f>transport!B14</f>
        <v>10.117884369008609</v>
      </c>
      <c r="C9" s="483">
        <f>transport!C14</f>
        <v>0</v>
      </c>
      <c r="D9" s="483">
        <f>transport!D14</f>
        <v>28.081685766393147</v>
      </c>
      <c r="E9" s="483">
        <f>transport!E14</f>
        <v>177.44720188247121</v>
      </c>
      <c r="F9" s="483">
        <f>transport!F14</f>
        <v>0</v>
      </c>
      <c r="G9" s="483">
        <f>transport!G14</f>
        <v>53464.246119703843</v>
      </c>
      <c r="H9" s="483">
        <f>transport!H14</f>
        <v>10577.669063731388</v>
      </c>
      <c r="I9" s="483">
        <f>transport!I14</f>
        <v>0</v>
      </c>
      <c r="J9" s="483">
        <f>transport!J14</f>
        <v>0</v>
      </c>
      <c r="K9" s="483">
        <f>transport!K14</f>
        <v>0</v>
      </c>
      <c r="L9" s="483">
        <f>transport!L14</f>
        <v>0</v>
      </c>
      <c r="M9" s="483">
        <f>transport!M14</f>
        <v>3418.2839864310845</v>
      </c>
      <c r="N9" s="483">
        <f>transport!N14</f>
        <v>0</v>
      </c>
      <c r="O9" s="483">
        <f>transport!O14</f>
        <v>0</v>
      </c>
      <c r="P9" s="483">
        <f>transport!P14</f>
        <v>0</v>
      </c>
      <c r="Q9" s="482">
        <f>SUM(B9:P9)</f>
        <v>67675.845941884181</v>
      </c>
    </row>
    <row r="10" spans="1:17">
      <c r="A10" s="478" t="s">
        <v>561</v>
      </c>
      <c r="B10" s="479">
        <f>transport!B54</f>
        <v>0</v>
      </c>
      <c r="C10" s="479">
        <f>transport!C54</f>
        <v>0</v>
      </c>
      <c r="D10" s="479">
        <f>transport!D54</f>
        <v>0</v>
      </c>
      <c r="E10" s="479">
        <f>transport!E54</f>
        <v>0</v>
      </c>
      <c r="F10" s="479">
        <f>transport!F54</f>
        <v>0</v>
      </c>
      <c r="G10" s="479">
        <f>transport!G54</f>
        <v>1086.1698004086302</v>
      </c>
      <c r="H10" s="479">
        <f>transport!H54</f>
        <v>0</v>
      </c>
      <c r="I10" s="479">
        <f>transport!I54</f>
        <v>0</v>
      </c>
      <c r="J10" s="479">
        <f>transport!J54</f>
        <v>0</v>
      </c>
      <c r="K10" s="479">
        <f>transport!K54</f>
        <v>0</v>
      </c>
      <c r="L10" s="479">
        <f>transport!L54</f>
        <v>0</v>
      </c>
      <c r="M10" s="479">
        <f>transport!M54</f>
        <v>61.94109736129024</v>
      </c>
      <c r="N10" s="479">
        <f>transport!N54</f>
        <v>0</v>
      </c>
      <c r="O10" s="479">
        <f>transport!O54</f>
        <v>0</v>
      </c>
      <c r="P10" s="480">
        <f>transport!P54</f>
        <v>0</v>
      </c>
      <c r="Q10" s="478">
        <f t="shared" si="0"/>
        <v>1148.1108977699205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45948.547519659609</v>
      </c>
      <c r="C14" s="489">
        <f t="shared" ref="C14:Q14" ca="1" si="1">SUM(C4:C13)</f>
        <v>6428.5714285714284</v>
      </c>
      <c r="D14" s="489">
        <f t="shared" ca="1" si="1"/>
        <v>43878.9487897664</v>
      </c>
      <c r="E14" s="489">
        <f t="shared" si="1"/>
        <v>1450.1309267687548</v>
      </c>
      <c r="F14" s="489">
        <f t="shared" ca="1" si="1"/>
        <v>62587.979437382033</v>
      </c>
      <c r="G14" s="489">
        <f t="shared" si="1"/>
        <v>54550.415920112471</v>
      </c>
      <c r="H14" s="489">
        <f t="shared" si="1"/>
        <v>10577.669063731388</v>
      </c>
      <c r="I14" s="489">
        <f t="shared" si="1"/>
        <v>0</v>
      </c>
      <c r="J14" s="489">
        <f t="shared" si="1"/>
        <v>547.3990161193085</v>
      </c>
      <c r="K14" s="489">
        <f t="shared" si="1"/>
        <v>0</v>
      </c>
      <c r="L14" s="489">
        <f t="shared" ca="1" si="1"/>
        <v>0</v>
      </c>
      <c r="M14" s="489">
        <f t="shared" si="1"/>
        <v>3480.2250837923748</v>
      </c>
      <c r="N14" s="489">
        <f t="shared" ca="1" si="1"/>
        <v>12254.501448579322</v>
      </c>
      <c r="O14" s="489">
        <f t="shared" si="1"/>
        <v>243.88000000000002</v>
      </c>
      <c r="P14" s="490">
        <f t="shared" si="1"/>
        <v>686.4</v>
      </c>
      <c r="Q14" s="490">
        <f t="shared" ca="1" si="1"/>
        <v>242634.66863448307</v>
      </c>
    </row>
    <row r="16" spans="1:17">
      <c r="A16" s="492" t="s">
        <v>566</v>
      </c>
      <c r="B16" s="842">
        <f ca="1">huishoudens!B10</f>
        <v>0.16563863934042883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3772.7240631101276</v>
      </c>
      <c r="C21" s="479">
        <f t="shared" ref="C21:C30" ca="1" si="3">C4*$C$16</f>
        <v>0</v>
      </c>
      <c r="D21" s="479">
        <f t="shared" ref="D21:D30" si="4">D4*$D$16</f>
        <v>6200.6770658360001</v>
      </c>
      <c r="E21" s="479">
        <f t="shared" ref="E21:E30" si="5">E4*$E$16</f>
        <v>151.89196345902101</v>
      </c>
      <c r="F21" s="479">
        <f t="shared" ref="F21:F30" si="6">F4*$F$16</f>
        <v>12477.42715974055</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22602.720252145697</v>
      </c>
    </row>
    <row r="22" spans="1:17">
      <c r="A22" s="478" t="s">
        <v>156</v>
      </c>
      <c r="B22" s="479">
        <f t="shared" ca="1" si="2"/>
        <v>2227.8716673861604</v>
      </c>
      <c r="C22" s="479">
        <f t="shared" ca="1" si="3"/>
        <v>0</v>
      </c>
      <c r="D22" s="479">
        <f t="shared" ca="1" si="4"/>
        <v>1847.4984539000002</v>
      </c>
      <c r="E22" s="479">
        <f t="shared" si="5"/>
        <v>24.358450174329139</v>
      </c>
      <c r="F22" s="479">
        <f t="shared" ca="1" si="6"/>
        <v>511.42486648351695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4611.1534379440063</v>
      </c>
    </row>
    <row r="23" spans="1:17">
      <c r="A23" s="478" t="s">
        <v>194</v>
      </c>
      <c r="B23" s="479">
        <f t="shared" ca="1" si="2"/>
        <v>150.85704716568895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150.85704716568895</v>
      </c>
    </row>
    <row r="24" spans="1:17">
      <c r="A24" s="478" t="s">
        <v>112</v>
      </c>
      <c r="B24" s="479">
        <f t="shared" ca="1" si="2"/>
        <v>531.94368672124631</v>
      </c>
      <c r="C24" s="479">
        <f t="shared" ca="1" si="3"/>
        <v>0</v>
      </c>
      <c r="D24" s="479">
        <f t="shared" si="4"/>
        <v>477.97538879199999</v>
      </c>
      <c r="E24" s="479">
        <f t="shared" si="5"/>
        <v>6.7523396141614107</v>
      </c>
      <c r="F24" s="479">
        <f t="shared" si="6"/>
        <v>2175.5463609965791</v>
      </c>
      <c r="G24" s="479">
        <f t="shared" si="7"/>
        <v>0</v>
      </c>
      <c r="H24" s="479">
        <f t="shared" si="8"/>
        <v>0</v>
      </c>
      <c r="I24" s="479">
        <f t="shared" si="9"/>
        <v>0</v>
      </c>
      <c r="J24" s="479">
        <f t="shared" si="10"/>
        <v>174.29343792502084</v>
      </c>
      <c r="K24" s="479">
        <f t="shared" si="11"/>
        <v>0</v>
      </c>
      <c r="L24" s="479">
        <f t="shared" si="12"/>
        <v>0</v>
      </c>
      <c r="M24" s="479">
        <f t="shared" si="13"/>
        <v>0</v>
      </c>
      <c r="N24" s="479">
        <f t="shared" si="14"/>
        <v>0</v>
      </c>
      <c r="O24" s="479">
        <f t="shared" si="15"/>
        <v>0</v>
      </c>
      <c r="P24" s="480">
        <f t="shared" si="16"/>
        <v>0</v>
      </c>
      <c r="Q24" s="478">
        <f t="shared" ca="1" si="17"/>
        <v>3366.5112140490078</v>
      </c>
    </row>
    <row r="25" spans="1:17">
      <c r="A25" s="478" t="s">
        <v>650</v>
      </c>
      <c r="B25" s="479">
        <f t="shared" ca="1" si="2"/>
        <v>925.78251384234466</v>
      </c>
      <c r="C25" s="479">
        <f t="shared" ca="1" si="3"/>
        <v>0</v>
      </c>
      <c r="D25" s="479">
        <f t="shared" si="4"/>
        <v>331.72424648000003</v>
      </c>
      <c r="E25" s="479">
        <f t="shared" si="5"/>
        <v>105.89645230167477</v>
      </c>
      <c r="F25" s="479">
        <f t="shared" si="6"/>
        <v>1546.5921225603574</v>
      </c>
      <c r="G25" s="479">
        <f t="shared" si="7"/>
        <v>0</v>
      </c>
      <c r="H25" s="479">
        <f t="shared" si="8"/>
        <v>0</v>
      </c>
      <c r="I25" s="479">
        <f t="shared" si="9"/>
        <v>0</v>
      </c>
      <c r="J25" s="479">
        <f t="shared" si="10"/>
        <v>19.485813781214361</v>
      </c>
      <c r="K25" s="479">
        <f t="shared" si="11"/>
        <v>0</v>
      </c>
      <c r="L25" s="479">
        <f t="shared" si="12"/>
        <v>0</v>
      </c>
      <c r="M25" s="479">
        <f t="shared" si="13"/>
        <v>0</v>
      </c>
      <c r="N25" s="479">
        <f t="shared" si="14"/>
        <v>0</v>
      </c>
      <c r="O25" s="479">
        <f t="shared" si="15"/>
        <v>0</v>
      </c>
      <c r="P25" s="480">
        <f t="shared" si="16"/>
        <v>0</v>
      </c>
      <c r="Q25" s="478">
        <f t="shared" ca="1" si="17"/>
        <v>2929.4811489655913</v>
      </c>
    </row>
    <row r="26" spans="1:17" s="484" customFormat="1">
      <c r="A26" s="482" t="s">
        <v>571</v>
      </c>
      <c r="B26" s="836">
        <f t="shared" ca="1" si="2"/>
        <v>1.6759125998863793</v>
      </c>
      <c r="C26" s="483">
        <f t="shared" ca="1" si="3"/>
        <v>0</v>
      </c>
      <c r="D26" s="483">
        <f t="shared" si="4"/>
        <v>5.672500524811416</v>
      </c>
      <c r="E26" s="483">
        <f t="shared" si="5"/>
        <v>40.280514827320964</v>
      </c>
      <c r="F26" s="483">
        <f t="shared" si="6"/>
        <v>0</v>
      </c>
      <c r="G26" s="483">
        <f t="shared" si="7"/>
        <v>14274.953713960927</v>
      </c>
      <c r="H26" s="483">
        <f t="shared" si="8"/>
        <v>2633.8395968691157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16956.422238782063</v>
      </c>
    </row>
    <row r="27" spans="1:17">
      <c r="A27" s="478" t="s">
        <v>561</v>
      </c>
      <c r="B27" s="479">
        <f t="shared" ca="1" si="2"/>
        <v>0</v>
      </c>
      <c r="C27" s="479">
        <f t="shared" ca="1" si="3"/>
        <v>0</v>
      </c>
      <c r="D27" s="479">
        <f t="shared" si="4"/>
        <v>0</v>
      </c>
      <c r="E27" s="479">
        <f t="shared" si="5"/>
        <v>0</v>
      </c>
      <c r="F27" s="479">
        <f t="shared" si="6"/>
        <v>0</v>
      </c>
      <c r="G27" s="479">
        <f t="shared" si="7"/>
        <v>290.00733670910427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290.00733670910427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7610.8548908254543</v>
      </c>
      <c r="C31" s="489">
        <f t="shared" ca="1" si="18"/>
        <v>0</v>
      </c>
      <c r="D31" s="489">
        <f t="shared" ca="1" si="18"/>
        <v>8863.5476555328114</v>
      </c>
      <c r="E31" s="489">
        <f t="shared" si="18"/>
        <v>329.1797203765073</v>
      </c>
      <c r="F31" s="489">
        <f t="shared" ca="1" si="18"/>
        <v>16710.990509781004</v>
      </c>
      <c r="G31" s="489">
        <f t="shared" si="18"/>
        <v>14564.961050670032</v>
      </c>
      <c r="H31" s="489">
        <f t="shared" si="18"/>
        <v>2633.8395968691157</v>
      </c>
      <c r="I31" s="489">
        <f t="shared" si="18"/>
        <v>0</v>
      </c>
      <c r="J31" s="489">
        <f t="shared" si="18"/>
        <v>193.77925170623519</v>
      </c>
      <c r="K31" s="489">
        <f t="shared" si="18"/>
        <v>0</v>
      </c>
      <c r="L31" s="489">
        <f t="shared" ca="1" si="18"/>
        <v>0</v>
      </c>
      <c r="M31" s="489">
        <f t="shared" si="18"/>
        <v>0</v>
      </c>
      <c r="N31" s="489">
        <f t="shared" ca="1" si="18"/>
        <v>0</v>
      </c>
      <c r="O31" s="489">
        <f t="shared" si="18"/>
        <v>0</v>
      </c>
      <c r="P31" s="490">
        <f t="shared" si="18"/>
        <v>0</v>
      </c>
      <c r="Q31" s="490">
        <f t="shared" ca="1" si="18"/>
        <v>50907.152675761157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0.16563863934042883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0.16563863934042883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0.16563863934042883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2018-06-27T09:38:22Z</dcterms:modified>
</cp:coreProperties>
</file>