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O60"/>
  <c r="N60"/>
  <c r="M60"/>
  <c r="W59"/>
  <c r="V59"/>
  <c r="U59"/>
  <c r="T59"/>
  <c r="S59"/>
  <c r="R59"/>
  <c r="Q59"/>
  <c r="P59"/>
  <c r="D13" i="15" s="1"/>
  <c r="O59" i="18"/>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L6" i="17"/>
  <c r="L5" s="1"/>
  <c r="D6"/>
  <c r="D8" s="1"/>
  <c r="J15" i="16"/>
  <c r="C16" i="15"/>
  <c r="L16" i="16"/>
  <c r="L18" s="1"/>
  <c r="B13"/>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D10" i="14"/>
  <c r="M17" i="18"/>
  <c r="M18"/>
  <c r="J12" i="17" l="1"/>
  <c r="K48" i="14" s="1"/>
  <c r="J7" i="48"/>
  <c r="J24" s="1"/>
  <c r="B34" i="13"/>
  <c r="J15" i="14"/>
  <c r="N8" i="17"/>
  <c r="O22" i="14" s="1"/>
  <c r="B35" i="13"/>
  <c r="O22" i="16"/>
  <c r="P39" i="14" s="1"/>
  <c r="O18" i="16"/>
  <c r="P13" i="14" s="1"/>
  <c r="B36" i="13"/>
  <c r="G31" i="20"/>
  <c r="H43" i="14" s="1"/>
  <c r="G12" i="22"/>
  <c r="D18" i="16"/>
  <c r="D22" s="1"/>
  <c r="E39" i="14" s="1"/>
  <c r="E8" i="17"/>
  <c r="E12" s="1"/>
  <c r="F48" i="14" s="1"/>
  <c r="H13" i="48"/>
  <c r="H30" s="1"/>
  <c r="H12" i="22"/>
  <c r="N16" i="15"/>
  <c r="L8" i="17"/>
  <c r="L12" s="1"/>
  <c r="M48" i="14" s="1"/>
  <c r="M50" i="22"/>
  <c r="M54" s="1"/>
  <c r="M10" i="48" s="1"/>
  <c r="M27" s="1"/>
  <c r="G51" i="22"/>
  <c r="G50" s="1"/>
  <c r="G54" s="1"/>
  <c r="H18" i="14" s="1"/>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J23" i="14"/>
  <c r="F5" i="15"/>
  <c r="F16" s="1"/>
  <c r="B5"/>
  <c r="B16" s="1"/>
  <c r="B5" i="16"/>
  <c r="B18" s="1"/>
  <c r="C13" i="14" s="1"/>
  <c r="N5" i="15"/>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13" i="14" l="1"/>
  <c r="F22"/>
  <c r="E7" i="48"/>
  <c r="E24" s="1"/>
  <c r="P41" i="14"/>
  <c r="P53" s="1"/>
  <c r="P55" s="1"/>
  <c r="D8" i="48"/>
  <c r="D25" s="1"/>
  <c r="J16" i="15"/>
  <c r="J5" i="48" s="1"/>
  <c r="J22" s="1"/>
  <c r="E20" i="15"/>
  <c r="F36" i="14" s="1"/>
  <c r="E16" i="15"/>
  <c r="H14" i="22"/>
  <c r="I19" i="14" s="1"/>
  <c r="I20" s="1"/>
  <c r="I23" s="1"/>
  <c r="N12" i="17"/>
  <c r="O48" i="14" s="1"/>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C14" i="48"/>
  <c r="D5"/>
  <c r="D22" s="1"/>
  <c r="D31" s="1"/>
  <c r="J67" i="14"/>
  <c r="I9" i="18"/>
  <c r="G58" i="22"/>
  <c r="H44" i="14" s="1"/>
  <c r="G10" i="48"/>
  <c r="G9"/>
  <c r="R17" i="14"/>
  <c r="Q13" i="48"/>
  <c r="M18" i="22"/>
  <c r="N45" i="14" s="1"/>
  <c r="M9" i="48"/>
  <c r="N19" i="14"/>
  <c r="E5" i="48"/>
  <c r="E22" s="1"/>
  <c r="P14"/>
  <c r="F10" i="14"/>
  <c r="B8" i="4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B22" i="6" l="1"/>
  <c r="C20" i="16" s="1"/>
  <c r="C22" s="1"/>
  <c r="D39" i="14" s="1"/>
  <c r="N20"/>
  <c r="N23" s="1"/>
  <c r="R22"/>
  <c r="E15"/>
  <c r="F18" i="16"/>
  <c r="G13" i="14" s="1"/>
  <c r="G15" s="1"/>
  <c r="G23" s="1"/>
  <c r="M16" i="18"/>
  <c r="M19" s="1"/>
  <c r="K10" i="14"/>
  <c r="R10" s="1"/>
  <c r="J18" i="16"/>
  <c r="J22" s="1"/>
  <c r="K39" i="14" s="1"/>
  <c r="Q7" i="48"/>
  <c r="E8"/>
  <c r="E25" s="1"/>
  <c r="E31" s="1"/>
  <c r="E18" i="16"/>
  <c r="E22" s="1"/>
  <c r="F39" i="14" s="1"/>
  <c r="F41" s="1"/>
  <c r="F53" s="1"/>
  <c r="J20" i="15"/>
  <c r="K36" i="14" s="1"/>
  <c r="J9" i="18"/>
  <c r="M7"/>
  <c r="M9" s="1"/>
  <c r="N8" i="48"/>
  <c r="N25" s="1"/>
  <c r="N18" i="16"/>
  <c r="N22" s="1"/>
  <c r="O39" i="14" s="1"/>
  <c r="O41" s="1"/>
  <c r="L31" i="48"/>
  <c r="N46" i="14"/>
  <c r="N53" s="1"/>
  <c r="N55" s="1"/>
  <c r="G18" i="22"/>
  <c r="H45" i="14" s="1"/>
  <c r="H46" s="1"/>
  <c r="H53" s="1"/>
  <c r="I19" i="18"/>
  <c r="J19"/>
  <c r="K78" i="14"/>
  <c r="K81" s="1"/>
  <c r="I81"/>
  <c r="O78"/>
  <c r="O81" s="1"/>
  <c r="B17" i="6" s="1"/>
  <c r="E23" i="14"/>
  <c r="D14" i="48"/>
  <c r="K13" i="14"/>
  <c r="B14" i="48"/>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7" i="19"/>
  <c r="C19" s="1"/>
  <c r="D35" i="14" s="1"/>
  <c r="C29" i="20"/>
  <c r="C17" i="49"/>
  <c r="C56" i="22"/>
  <c r="C58" s="1"/>
  <c r="D44" i="14" s="1"/>
  <c r="D46" s="1"/>
  <c r="Q5" i="48"/>
  <c r="O13" i="14"/>
  <c r="O15" s="1"/>
  <c r="F22" i="16"/>
  <c r="G39" i="14" s="1"/>
  <c r="G41" s="1"/>
  <c r="F8" i="48"/>
  <c r="E14"/>
  <c r="Q4"/>
  <c r="N22"/>
  <c r="N31" s="1"/>
  <c r="R11" i="14"/>
  <c r="J21" i="48"/>
  <c r="C10" i="13" l="1"/>
  <c r="C16" i="48" s="1"/>
  <c r="C30" s="1"/>
  <c r="N14"/>
  <c r="C16" i="22"/>
  <c r="C18" i="15"/>
  <c r="C20" s="1"/>
  <c r="D36" i="14" s="1"/>
  <c r="K41"/>
  <c r="K53" s="1"/>
  <c r="K15"/>
  <c r="K23" s="1"/>
  <c r="K55" s="1"/>
  <c r="H55"/>
  <c r="E55"/>
  <c r="C78"/>
  <c r="C81" s="1"/>
  <c r="J14" i="48"/>
  <c r="J31"/>
  <c r="Q8"/>
  <c r="Q14" s="1"/>
  <c r="R19" i="14"/>
  <c r="R20" s="1"/>
  <c r="H14" i="48"/>
  <c r="G31"/>
  <c r="H26"/>
  <c r="H31" s="1"/>
  <c r="F55" i="14"/>
  <c r="O53"/>
  <c r="G53"/>
  <c r="G55" s="1"/>
  <c r="O69" s="1"/>
  <c r="B9" i="6" s="1"/>
  <c r="B12" s="1"/>
  <c r="M53" i="14"/>
  <c r="M55" s="1"/>
  <c r="C23" i="48"/>
  <c r="C27"/>
  <c r="C28"/>
  <c r="C26"/>
  <c r="R13" i="14"/>
  <c r="R15" s="1"/>
  <c r="F25" i="48"/>
  <c r="F31" s="1"/>
  <c r="F14"/>
  <c r="C22" l="1"/>
  <c r="C31" s="1"/>
  <c r="C25"/>
  <c r="C29"/>
  <c r="C21"/>
  <c r="C12" i="13"/>
  <c r="D37" i="14" s="1"/>
  <c r="D41" s="1"/>
  <c r="C24" i="48"/>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<sst xmlns="http://schemas.openxmlformats.org/spreadsheetml/2006/main" count="1968" uniqueCount="845">
  <si>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</si>
  <si>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</si>
  <si>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</si>
  <si>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</si>
  <si>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</si>
  <si>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</si>
  <si>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</si>
  <si>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</si>
  <si>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</si>
  <si>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</si>
  <si>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</si>
  <si>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</si>
  <si>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</si>
  <si>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</si>
  <si>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</si>
  <si>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</si>
  <si>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</si>
  <si>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</si>
  <si>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</si>
  <si>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</si>
  <si>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</si>
  <si>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</si>
  <si>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</si>
  <si>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</si>
  <si>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</si>
  <si>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</si>
  <si>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</si>
  <si>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</si>
  <si>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</si>
  <si>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</si>
  <si>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</si>
  <si>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</si>
  <si>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</si>
  <si>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</si>
  <si>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</si>
  <si>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</si>
  <si>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</si>
  <si>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</si>
  <si>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</si>
  <si>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</si>
  <si>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</si>
  <si>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</si>
  <si>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</si>
  <si>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</si>
  <si>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</si>
  <si>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</si>
  <si>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</si>
  <si>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</si>
  <si>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</si>
  <si>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</si>
  <si>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</si>
  <si>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</si>
  <si>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</si>
  <si>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</si>
  <si>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</si>
  <si>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</si>
  <si>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</si>
  <si>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</si>
  <si>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</si>
  <si>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</si>
  <si>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</si>
  <si>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</si>
  <si>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</si>
  <si>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</si>
  <si>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</si>
  <si>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</si>
  <si>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</si>
  <si>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</si>
  <si>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</si>
  <si>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</si>
  <si>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</si>
  <si>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</si>
  <si>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</si>
  <si>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</si>
  <si>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</si>
  <si>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</si>
  <si>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</si>
  <si>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</si>
  <si>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</si>
  <si>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</si>
  <si>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</si>
  <si>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</si>
  <si>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</si>
  <si>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</si>
  <si>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</si>
  <si>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</si>
  <si>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</si>
  <si>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</si>
  <si>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</si>
  <si>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</si>
  <si>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</si>
  <si>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</si>
  <si>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</si>
  <si>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</si>
  <si>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</si>
  <si>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</si>
  <si>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</si>
  <si>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</si>
  <si>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</si>
  <si>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</si>
  <si>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</si>
  <si>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</si>
  <si>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</si>
  <si>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</si>
  <si>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</si>
  <si>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</si>
  <si>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</si>
  <si>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</si>
  <si>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</si>
  <si>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</si>
  <si>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</si>
  <si>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</si>
  <si>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</si>
  <si>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</si>
  <si>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</si>
  <si>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</si>
  <si>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</si>
  <si>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</si>
  <si>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</si>
  <si>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</si>
  <si>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</si>
  <si>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</si>
  <si>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</si>
  <si>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</si>
  <si>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</si>
  <si>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</si>
  <si>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</si>
  <si>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</si>
  <si>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</si>
  <si>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</si>
  <si>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</si>
  <si>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</si>
  <si>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</si>
  <si>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</si>
  <si>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</si>
  <si>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</si>
  <si>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</si>
  <si>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</si>
  <si>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</si>
  <si>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</si>
  <si>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</si>
  <si>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</si>
  <si>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</si>
  <si>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</si>
  <si>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</si>
  <si>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</si>
  <si>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</si>
  <si>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</si>
  <si>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</si>
  <si>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</si>
  <si>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</si>
  <si>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</si>
  <si>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</si>
  <si>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</si>
  <si>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</si>
  <si>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</si>
  <si>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</si>
  <si>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</si>
  <si>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</si>
  <si>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</si>
  <si>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</si>
  <si>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</si>
  <si>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</si>
  <si>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</si>
  <si>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</si>
  <si>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</si>
  <si>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</si>
  <si>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</si>
  <si>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</si>
  <si>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</si>
  <si>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</si>
  <si>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</si>
  <si>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</si>
  <si>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</si>
  <si>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</si>
  <si>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</si>
  <si>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</si>
  <si>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</si>
  <si>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</si>
  <si>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</si>
  <si>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</si>
  <si>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</si>
  <si>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</si>
  <si>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</si>
  <si>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</si>
  <si>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</si>
  <si>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</si>
  <si>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</si>
  <si>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</si>
  <si>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</si>
  <si>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</si>
  <si>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</si>
  <si>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</si>
  <si>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</si>
  <si>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</si>
  <si>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</si>
  <si>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</si>
  <si>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</si>
  <si>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</si>
  <si>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</si>
  <si>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</si>
  <si>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</si>
  <si>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</si>
  <si>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</si>
  <si>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</si>
  <si>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</si>
  <si>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</si>
  <si>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</si>
  <si>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</si>
  <si>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</si>
  <si>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</si>
  <si>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</si>
  <si>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</si>
  <si>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</si>
  <si>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</si>
  <si>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</si>
  <si>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</si>
  <si>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</si>
  <si>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</si>
  <si>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</si>
  <si>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</si>
  <si>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</si>
  <si>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</si>
  <si>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</si>
  <si>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</si>
  <si>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</si>
  <si>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</si>
  <si>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</si>
  <si>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</si>
  <si>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</si>
  <si>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</si>
  <si>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</si>
  <si>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</si>
  <si>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</si>
  <si>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</si>
  <si>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</si>
  <si>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</si>
  <si>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</si>
  <si>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</si>
  <si>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</si>
  <si>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</si>
  <si>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</si>
  <si>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</si>
  <si>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</si>
  <si>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</si>
  <si>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</si>
  <si>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</si>
  <si>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</si>
  <si>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</si>
  <si>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</si>
  <si>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</si>
  <si>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</si>
  <si>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</si>
  <si>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</si>
  <si>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</si>
  <si>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</si>
  <si>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</si>
  <si>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</si>
  <si>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</si>
  <si>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</si>
  <si>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</si>
  <si>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</si>
  <si>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</si>
  <si>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</si>
  <si>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</si>
  <si>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</si>
  <si>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</si>
  <si>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</si>
  <si>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</si>
  <si>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</si>
  <si>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</si>
  <si>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</si>
  <si>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</si>
  <si>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</si>
  <si>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</si>
  <si>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</si>
  <si>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</si>
  <si>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</si>
  <si>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</si>
  <si>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</si>
  <si>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</si>
  <si>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</si>
  <si>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</si>
  <si>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</si>
  <si>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</si>
  <si>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</si>
  <si>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</si>
  <si>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</si>
  <si>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</si>
  <si>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</si>
  <si>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</si>
  <si>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</si>
  <si>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</si>
  <si>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</si>
  <si>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</si>
  <si>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</si>
  <si>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</si>
  <si>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</si>
  <si>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</si>
  <si>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</si>
  <si>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</si>
  <si>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</si>
  <si>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</si>
  <si>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</si>
  <si>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</si>
  <si>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</si>
  <si>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</si>
  <si>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</si>
  <si>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</si>
  <si>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</si>
  <si>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</si>
  <si>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</si>
  <si>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</si>
  <si>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</si>
  <si>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</si>
  <si>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</si>
  <si>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</si>
  <si>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</si>
  <si>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</si>
  <si>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</si>
  <si>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</si>
  <si>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</si>
  <si>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</si>
  <si>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</si>
  <si>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</si>
  <si>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</si>
  <si>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</si>
  <si>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</si>
  <si>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</si>
  <si>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</si>
  <si>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</si>
  <si>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</si>
  <si>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</si>
  <si>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</si>
  <si>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</si>
  <si>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</si>
  <si>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</si>
  <si>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</si>
  <si>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</si>
  <si>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</si>
  <si>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</si>
  <si>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</si>
  <si>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</si>
  <si>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</si>
  <si>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</si>
  <si>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</si>
  <si>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</si>
  <si>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</si>
  <si>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</si>
  <si>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</si>
  <si>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</si>
  <si>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</si>
  <si>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</si>
  <si>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</si>
  <si>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</si>
  <si>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</si>
  <si>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</si>
  <si>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</si>
  <si>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</si>
  <si>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</si>
  <si>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</si>
  <si>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</si>
  <si>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</si>
  <si>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</si>
  <si>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</si>
  <si>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</si>
  <si>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</si>
  <si>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</si>
  <si>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</si>
  <si>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</si>
  <si>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</si>
  <si>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</si>
  <si>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</si>
  <si>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</si>
  <si>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</si>
  <si>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</si>
  <si>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</si>
  <si>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</si>
  <si>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</si>
  <si>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</si>
  <si>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</si>
  <si>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</si>
  <si>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</si>
  <si>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</si>
  <si>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</si>
  <si>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</si>
  <si>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</si>
  <si>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</si>
  <si>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</si>
  <si>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</si>
  <si>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</si>
  <si>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</si>
  <si>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</si>
  <si>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</si>
  <si>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</si>
  <si>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</si>
  <si>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</si>
  <si>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</si>
  <si>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</si>
  <si>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</si>
  <si>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</si>
  <si>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</si>
  <si>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</si>
  <si>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</si>
  <si>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</si>
  <si>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</si>
  <si>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</si>
  <si>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</si>
  <si>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</si>
  <si>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</si>
  <si>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</si>
  <si>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</si>
  <si>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</si>
  <si>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</si>
  <si>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</si>
  <si>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</si>
  <si>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</si>
  <si>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</si>
  <si>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</si>
  <si>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</si>
  <si>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</si>
  <si>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</si>
  <si>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</si>
  <si>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</si>
  <si>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</si>
  <si>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</si>
  <si>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</si>
  <si>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</si>
  <si>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</si>
  <si>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</si>
  <si>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</si>
  <si>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</si>
  <si>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</si>
  <si>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</si>
  <si>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</si>
  <si>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</si>
  <si>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</si>
  <si>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</si>
  <si>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</si>
  <si>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</si>
  <si>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</si>
  <si>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</si>
  <si>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</si>
  <si>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</si>
  <si>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</si>
  <si>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</si>
  <si>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</si>
  <si>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</si>
  <si>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</si>
  <si>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</si>
  <si>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</si>
  <si>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</si>
  <si>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</si>
  <si>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</si>
  <si>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</si>
  <si>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</si>
  <si>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</si>
  <si>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</si>
  <si>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</si>
  <si>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</si>
  <si>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</si>
  <si>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</si>
  <si>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</si>
  <si>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</si>
  <si>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</si>
  <si>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</si>
  <si>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</si>
  <si>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</si>
  <si>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</si>
  <si>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</si>
  <si>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</si>
  <si>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</si>
  <si>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</si>
  <si>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</si>
  <si>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</si>
  <si>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</si>
  <si>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</si>
  <si>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</si>
  <si>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</si>
  <si>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</si>
  <si>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</si>
  <si>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</si>
  <si>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</si>
  <si>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</si>
  <si>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</si>
  <si>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</si>
  <si>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</si>
  <si>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</si>
  <si>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</si>
  <si>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</si>
  <si>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</si>
  <si>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</si>
  <si>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</si>
  <si>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</si>
  <si>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</si>
  <si>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</si>
  <si>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</si>
  <si>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</si>
  <si>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</si>
  <si>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</si>
  <si>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</si>
  <si>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</si>
  <si>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</si>
  <si>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</si>
  <si>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</si>
  <si>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</si>
  <si>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</si>
  <si>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</si>
  <si>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</si>
  <si>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</si>
  <si>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</si>
  <si>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</si>
  <si>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</si>
  <si>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</si>
  <si>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</si>
  <si>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</si>
  <si>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</si>
  <si>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</si>
  <si>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</si>
  <si>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</si>
  <si>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</si>
  <si>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</si>
  <si>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</si>
  <si>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</si>
  <si>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</si>
  <si>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</si>
  <si>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</si>
  <si>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</si>
  <si>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</si>
  <si>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</si>
  <si>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</si>
  <si>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</si>
  <si>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</si>
  <si>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</si>
  <si>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</si>
  <si>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</si>
  <si>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</si>
  <si>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</si>
  <si>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</si>
  <si>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</si>
  <si>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</si>
  <si>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</si>
  <si>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</si>
  <si>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</si>
  <si>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</si>
  <si>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</si>
  <si>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</si>
  <si>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</si>
  <si>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</si>
  <si>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</si>
  <si>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</si>
  <si>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</si>
  <si>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</si>
  <si>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</si>
  <si>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</si>
  <si>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</si>
  <si>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</si>
  <si>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</si>
  <si>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</si>
  <si>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</si>
  <si>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</si>
  <si>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</si>
  <si>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</si>
  <si>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</si>
  <si>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</si>
  <si>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</si>
  <si>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</si>
  <si>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</si>
  <si>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</si>
  <si>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</si>
  <si>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</si>
  <si>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</si>
  <si>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</si>
  <si>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</si>
  <si>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</si>
  <si>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</si>
  <si>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</si>
  <si>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</si>
  <si>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</si>
  <si>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</si>
  <si>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</si>
  <si>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</si>
  <si>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</si>
  <si>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</si>
  <si>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</si>
  <si>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</si>
  <si>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</si>
  <si>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</si>
  <si>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</si>
  <si>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</si>
  <si>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</si>
  <si>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</si>
  <si>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</si>
  <si>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</si>
  <si>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</si>
  <si>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</si>
  <si>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</si>
  <si>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</si>
  <si>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</si>
  <si>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</si>
  <si>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</si>
  <si>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</si>
  <si>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</si>
  <si>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</si>
  <si>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</si>
  <si>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</si>
  <si>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</si>
  <si>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</si>
  <si>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</si>
  <si>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</si>
  <si>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</si>
  <si>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</si>
  <si>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</si>
  <si>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</si>
  <si>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</si>
  <si>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</si>
  <si>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</si>
  <si>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</si>
  <si>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</si>
  <si>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</si>
  <si>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</si>
  <si>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</si>
  <si>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</si>
  <si>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</si>
  <si>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</si>
  <si>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</si>
  <si>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</si>
  <si>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</si>
  <si>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</si>
  <si>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</si>
  <si>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</si>
  <si>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</si>
  <si>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</si>
  <si>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</si>
  <si>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</si>
  <si>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</si>
  <si>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</si>
  <si>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</si>
  <si>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</si>
  <si>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</si>
  <si>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</si>
  <si>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</si>
  <si>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</si>
  <si>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</si>
  <si>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</si>
  <si>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</si>
  <si>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</si>
  <si>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</si>
  <si>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</si>
  <si>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</si>
  <si>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</si>
  <si>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</si>
  <si>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</si>
  <si>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</si>
  <si>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</si>
  <si>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</si>
  <si>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</si>
  <si>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</si>
  <si>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</si>
  <si>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</si>
  <si>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</si>
  <si>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</si>
  <si>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</si>
  <si>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</si>
  <si>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</si>
  <si>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</si>
  <si>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</si>
  <si>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</si>
  <si>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</si>
  <si>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</si>
  <si>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</si>
  <si>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</si>
  <si>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</si>
  <si>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</si>
  <si>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</si>
  <si>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</si>
  <si>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</si>
  <si>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</si>
  <si>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</si>
  <si>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</si>
  <si>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</si>
  <si>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</si>
  <si>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</si>
  <si>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</si>
  <si>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</si>
  <si>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</si>
  <si>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</si>
  <si>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</si>
  <si>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</si>
  <si>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</si>
  <si>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</si>
  <si>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</si>
  <si>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</si>
  <si>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</si>
  <si>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</si>
  <si>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</si>
  <si>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</si>
  <si>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</si>
  <si>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</si>
  <si>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</si>
  <si>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</si>
  <si>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</si>
  <si>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</si>
  <si>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</si>
  <si>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</si>
  <si>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</si>
  <si>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</si>
  <si>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</si>
  <si>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</si>
  <si>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</si>
  <si>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</si>
  <si>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</si>
  <si>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</si>
  <si>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</si>
  <si>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</si>
  <si>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</si>
  <si>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</si>
  <si>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</si>
  <si>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</si>
  <si>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</si>
  <si>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</si>
  <si>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</si>
  <si>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</si>
  <si>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</si>
  <si>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</si>
  <si>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</si>
  <si>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</si>
  <si>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</si>
  <si>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</si>
  <si>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</si>
  <si>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</si>
  <si>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</si>
  <si>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</si>
  <si>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</si>
  <si>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</si>
  <si>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</si>
  <si>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</si>
  <si>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</si>
  <si>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</si>
  <si>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</si>
  <si>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</si>
  <si>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</si>
  <si>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</si>
  <si>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</si>
  <si>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</si>
  <si>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</si>
  <si>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</si>
  <si>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</si>
  <si>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</si>
  <si>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</si>
  <si>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</si>
  <si>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</si>
  <si>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</si>
  <si>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</si>
  <si>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</si>
  <si>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</si>
  <si>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</si>
  <si>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</si>
  <si>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</si>
  <si>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</si>
  <si>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</si>
  <si>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</si>
  <si>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</si>
  <si>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</si>
  <si>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</si>
  <si>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</si>
  <si>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</si>
  <si>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</si>
  <si>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</si>
  <si>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</si>
  <si>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</si>
  <si>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</si>
  <si>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</si>
  <si>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</si>
  <si>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</si>
  <si>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</si>
  <si>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</si>
  <si>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</si>
  <si>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</si>
  <si>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</si>
  <si>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</si>
  <si>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</si>
  <si>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</si>
  <si>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</si>
  <si>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</si>
  <si>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</si>
  <si>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</si>
  <si>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</si>
  <si>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</si>
  <si>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</si>
  <si>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</si>
  <si>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</si>
  <si>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</si>
  <si>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</si>
  <si>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</si>
  <si>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</si>
  <si>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</si>
  <si>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</si>
  <si>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</si>
  <si>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</si>
  <si>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</si>
  <si>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</si>
  <si>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</si>
  <si>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</si>
  <si>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</si>
  <si>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</si>
  <si>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</si>
  <si>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</si>
  <si>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</si>
  <si>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</si>
  <si>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</si>
  <si>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</si>
  <si>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</si>
  <si>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</si>
  <si>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</si>
  <si>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</si>
  <si>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</si>
  <si>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</si>
  <si>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</si>
  <si>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</si>
  <si>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</si>
  <si>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</si>
  <si>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</si>
  <si>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</si>
  <si>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</si>
  <si>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</si>
  <si>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46013</t>
  </si>
  <si>
    <t>KRUIBEKE</t>
  </si>
  <si>
    <t>Paarden&amp;pony's 200 - 600 kg</t>
  </si>
  <si>
    <t>Paarden&amp;pony's &lt; 200 kg</t>
  </si>
  <si>
    <t>referentietaak LNE (2017); Jaarverslag De Lijn (2014)</t>
  </si>
  <si>
    <t>op basis van VEA (maart 2018) en Inventaris Hernieuwbare Energiebronnen (juni 2018)</t>
  </si>
  <si>
    <t>VEA (maart 2016)</t>
  </si>
  <si>
    <t>VEA (juni 2018)</t>
  </si>
  <si>
    <t>Slamotra bvba</t>
  </si>
  <si>
    <t>Hondenstraat 12 , 9150 Kruibeke</t>
  </si>
  <si>
    <t>WKK-0222 Slamotra</t>
  </si>
  <si>
    <t>interne verbrandingsmotor</t>
  </si>
  <si>
    <t>WKK interne verbrandinsgmotor (vloeibaar)</t>
  </si>
  <si>
    <t>eilandwerking</t>
  </si>
  <si>
    <t>Ducd'O NV</t>
  </si>
  <si>
    <t>Bazelstraat 250 , 9150 Kruibeke</t>
  </si>
  <si>
    <t>WKK-0404 DucdO</t>
  </si>
  <si>
    <t>WKK interne verbrandinsgmotor (gas)</t>
  </si>
  <si>
    <t>INTERGEM</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</si>
</sst>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115642.92788503163</c:v>
                </c:pt>
                <c:pt idx="1">
                  <c:v>29003.820288810068</c:v>
                </c:pt>
                <c:pt idx="2">
                  <c:v>1161.5440000000001</c:v>
                </c:pt>
                <c:pt idx="3">
                  <c:v>10304.678494838048</c:v>
                </c:pt>
                <c:pt idx="4">
                  <c:v>23823.954780668453</c:v>
                </c:pt>
                <c:pt idx="5">
                  <c:v>158141.63589733021</c:v>
                </c:pt>
                <c:pt idx="6">
                  <c:v>1446.0163741939482</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168960"/>
        <c:axId val="176170496"/>
      </c:barChart>
      <c:catAx>
        <c:axId val="176168960"/>
        <c:scaling>
          <c:orientation val="minMax"/>
        </c:scaling>
        <c:axPos val="b"/>
        <c:numFmt formatCode="General" sourceLinked="0"/>
        <c:tickLblPos val="nextTo"/>
        <c:crossAx val="176170496"/>
        <c:crosses val="autoZero"/>
        <c:auto val="1"/>
        <c:lblAlgn val="ctr"/>
        <c:lblOffset val="100"/>
      </c:catAx>
      <c:valAx>
        <c:axId val="176170496"/>
        <c:scaling>
          <c:orientation val="minMax"/>
        </c:scaling>
        <c:axPos val="l"/>
        <c:majorGridlines/>
        <c:numFmt formatCode="#,##0" sourceLinked="1"/>
        <c:tickLblPos val="nextTo"/>
        <c:crossAx val="17616896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115642.92788503163</c:v>
                </c:pt>
                <c:pt idx="1">
                  <c:v>29003.820288810068</c:v>
                </c:pt>
                <c:pt idx="2">
                  <c:v>1161.5440000000001</c:v>
                </c:pt>
                <c:pt idx="3">
                  <c:v>10304.678494838048</c:v>
                </c:pt>
                <c:pt idx="4">
                  <c:v>23823.954780668453</c:v>
                </c:pt>
                <c:pt idx="5">
                  <c:v>158141.63589733021</c:v>
                </c:pt>
                <c:pt idx="6">
                  <c:v>1446.0163741939482</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18911.509740174086</c:v>
                </c:pt>
                <c:pt idx="1">
                  <c:v>5003.1353040112854</c:v>
                </c:pt>
                <c:pt idx="2">
                  <c:v>159.48980832743158</c:v>
                </c:pt>
                <c:pt idx="3">
                  <c:v>1928.7194913497192</c:v>
                </c:pt>
                <c:pt idx="4">
                  <c:v>4143.351909846424</c:v>
                </c:pt>
                <c:pt idx="5">
                  <c:v>39701.611248603396</c:v>
                </c:pt>
                <c:pt idx="6">
                  <c:v>365.25683915403494</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6638592"/>
        <c:axId val="176693632"/>
      </c:barChart>
      <c:catAx>
        <c:axId val="176638592"/>
        <c:scaling>
          <c:orientation val="minMax"/>
        </c:scaling>
        <c:axPos val="b"/>
        <c:numFmt formatCode="General" sourceLinked="0"/>
        <c:tickLblPos val="nextTo"/>
        <c:crossAx val="176693632"/>
        <c:crosses val="autoZero"/>
        <c:auto val="1"/>
        <c:lblAlgn val="ctr"/>
        <c:lblOffset val="100"/>
      </c:catAx>
      <c:valAx>
        <c:axId val="176693632"/>
        <c:scaling>
          <c:orientation val="minMax"/>
        </c:scaling>
        <c:axPos val="l"/>
        <c:majorGridlines/>
        <c:numFmt formatCode="#,##0" sourceLinked="1"/>
        <c:tickLblPos val="nextTo"/>
        <c:crossAx val="17663859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18911.509740174086</c:v>
                </c:pt>
                <c:pt idx="1">
                  <c:v>5003.1353040112854</c:v>
                </c:pt>
                <c:pt idx="2">
                  <c:v>159.48980832743158</c:v>
                </c:pt>
                <c:pt idx="3">
                  <c:v>1928.7194913497192</c:v>
                </c:pt>
                <c:pt idx="4">
                  <c:v>4143.351909846424</c:v>
                </c:pt>
                <c:pt idx="5">
                  <c:v>39701.611248603396</c:v>
                </c:pt>
                <c:pt idx="6">
                  <c:v>365.25683915403494</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46013</v>
      </c>
      <c r="B6" s="416"/>
      <c r="C6" s="417"/>
    </row>
    <row r="7" spans="1:7" s="414" customFormat="1" ht="15.75" customHeight="1">
      <c r="A7" s="418" t="str">
        <f>txtMunicipality</f>
        <v>KRUIBEKE</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13050.530299999999</v>
      </c>
      <c r="D10" s="719">
        <f ca="1">tertiair!C16</f>
        <v>0</v>
      </c>
      <c r="E10" s="719">
        <f ca="1">tertiair!D16</f>
        <v>14185.743850204384</v>
      </c>
      <c r="F10" s="719">
        <f>tertiair!E16</f>
        <v>135.96706479906513</v>
      </c>
      <c r="G10" s="719">
        <f ca="1">tertiair!F16</f>
        <v>1776.3753570789054</v>
      </c>
      <c r="H10" s="719">
        <f>tertiair!G16</f>
        <v>0</v>
      </c>
      <c r="I10" s="719">
        <f>tertiair!H16</f>
        <v>0</v>
      </c>
      <c r="J10" s="719">
        <f>tertiair!I16</f>
        <v>0</v>
      </c>
      <c r="K10" s="719">
        <f>tertiair!J16</f>
        <v>0</v>
      </c>
      <c r="L10" s="719">
        <f>tertiair!K16</f>
        <v>0</v>
      </c>
      <c r="M10" s="719">
        <f ca="1">tertiair!L16</f>
        <v>0</v>
      </c>
      <c r="N10" s="719">
        <f>tertiair!M16</f>
        <v>0</v>
      </c>
      <c r="O10" s="719">
        <f ca="1">tertiair!N16</f>
        <v>1013.6210500610476</v>
      </c>
      <c r="P10" s="719">
        <f>tertiair!O16</f>
        <v>3.1266666666666669</v>
      </c>
      <c r="Q10" s="720">
        <f>tertiair!P16</f>
        <v>0</v>
      </c>
      <c r="R10" s="722">
        <f ca="1">SUM(C10:Q10)</f>
        <v>30165.364288810066</v>
      </c>
      <c r="S10" s="67"/>
    </row>
    <row r="11" spans="1:19" s="475" customFormat="1">
      <c r="A11" s="871" t="s">
        <v>225</v>
      </c>
      <c r="B11" s="876"/>
      <c r="C11" s="719">
        <f>huishoudens!B8</f>
        <v>30969.901249168277</v>
      </c>
      <c r="D11" s="719">
        <f>huishoudens!C8</f>
        <v>0</v>
      </c>
      <c r="E11" s="719">
        <f>huishoudens!D8</f>
        <v>69530.681528552203</v>
      </c>
      <c r="F11" s="719">
        <f>huishoudens!E8</f>
        <v>707.67357344484049</v>
      </c>
      <c r="G11" s="719">
        <f>huishoudens!F8</f>
        <v>0</v>
      </c>
      <c r="H11" s="719">
        <f>huishoudens!G8</f>
        <v>0</v>
      </c>
      <c r="I11" s="719">
        <f>huishoudens!H8</f>
        <v>0</v>
      </c>
      <c r="J11" s="719">
        <f>huishoudens!I8</f>
        <v>0</v>
      </c>
      <c r="K11" s="719">
        <f>huishoudens!J8</f>
        <v>1280.3417445845917</v>
      </c>
      <c r="L11" s="719">
        <f>huishoudens!K8</f>
        <v>0</v>
      </c>
      <c r="M11" s="719">
        <f>huishoudens!L8</f>
        <v>0</v>
      </c>
      <c r="N11" s="719">
        <f>huishoudens!M8</f>
        <v>0</v>
      </c>
      <c r="O11" s="719">
        <f>huishoudens!N8</f>
        <v>12434.396455948383</v>
      </c>
      <c r="P11" s="719">
        <f>huishoudens!O8</f>
        <v>281.40000000000003</v>
      </c>
      <c r="Q11" s="720">
        <f>huishoudens!P8</f>
        <v>438.5333333333333</v>
      </c>
      <c r="R11" s="722">
        <f>SUM(C11:Q11)</f>
        <v>115642.92788503163</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8306.1496999999999</v>
      </c>
      <c r="D13" s="719">
        <f>industrie!C18</f>
        <v>0</v>
      </c>
      <c r="E13" s="719">
        <f>industrie!D18</f>
        <v>9556.8348116177294</v>
      </c>
      <c r="F13" s="719">
        <f>industrie!E18</f>
        <v>661.82629826576817</v>
      </c>
      <c r="G13" s="719">
        <f>industrie!F18</f>
        <v>3402.0813502259207</v>
      </c>
      <c r="H13" s="719">
        <f>industrie!G18</f>
        <v>0</v>
      </c>
      <c r="I13" s="719">
        <f>industrie!H18</f>
        <v>0</v>
      </c>
      <c r="J13" s="719">
        <f>industrie!I18</f>
        <v>0</v>
      </c>
      <c r="K13" s="719">
        <f>industrie!J18</f>
        <v>38.916474659672502</v>
      </c>
      <c r="L13" s="719">
        <f>industrie!K18</f>
        <v>0</v>
      </c>
      <c r="M13" s="719">
        <f>industrie!L18</f>
        <v>0</v>
      </c>
      <c r="N13" s="719">
        <f>industrie!M18</f>
        <v>0</v>
      </c>
      <c r="O13" s="719">
        <f>industrie!N18</f>
        <v>1858.146145899362</v>
      </c>
      <c r="P13" s="719">
        <f>industrie!O18</f>
        <v>0</v>
      </c>
      <c r="Q13" s="720">
        <f>industrie!P18</f>
        <v>0</v>
      </c>
      <c r="R13" s="722">
        <f>SUM(C13:Q13)</f>
        <v>23823.954780668453</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52326.581249168281</v>
      </c>
      <c r="D15" s="724">
        <f t="shared" ref="D15:Q15" ca="1" si="0">SUM(D9:D14)</f>
        <v>0</v>
      </c>
      <c r="E15" s="724">
        <f t="shared" ca="1" si="0"/>
        <v>93273.260190374305</v>
      </c>
      <c r="F15" s="724">
        <f t="shared" si="0"/>
        <v>1505.4669365096738</v>
      </c>
      <c r="G15" s="724">
        <f t="shared" ca="1" si="0"/>
        <v>5178.4567073048256</v>
      </c>
      <c r="H15" s="724">
        <f t="shared" si="0"/>
        <v>0</v>
      </c>
      <c r="I15" s="724">
        <f t="shared" si="0"/>
        <v>0</v>
      </c>
      <c r="J15" s="724">
        <f t="shared" si="0"/>
        <v>0</v>
      </c>
      <c r="K15" s="724">
        <f t="shared" si="0"/>
        <v>1319.2582192442642</v>
      </c>
      <c r="L15" s="724">
        <f t="shared" si="0"/>
        <v>0</v>
      </c>
      <c r="M15" s="724">
        <f t="shared" ca="1" si="0"/>
        <v>0</v>
      </c>
      <c r="N15" s="724">
        <f t="shared" si="0"/>
        <v>0</v>
      </c>
      <c r="O15" s="724">
        <f t="shared" ca="1" si="0"/>
        <v>15306.163651908792</v>
      </c>
      <c r="P15" s="724">
        <f t="shared" si="0"/>
        <v>284.5266666666667</v>
      </c>
      <c r="Q15" s="725">
        <f t="shared" si="0"/>
        <v>438.5333333333333</v>
      </c>
      <c r="R15" s="726">
        <f ca="1">SUM(R9:R14)</f>
        <v>169632.24695451016</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1368.0031428990071</v>
      </c>
      <c r="I18" s="719">
        <f>transport!H54</f>
        <v>0</v>
      </c>
      <c r="J18" s="719">
        <f>transport!I54</f>
        <v>0</v>
      </c>
      <c r="K18" s="719">
        <f>transport!J54</f>
        <v>0</v>
      </c>
      <c r="L18" s="719">
        <f>transport!K54</f>
        <v>0</v>
      </c>
      <c r="M18" s="719">
        <f>transport!L54</f>
        <v>0</v>
      </c>
      <c r="N18" s="719">
        <f>transport!M54</f>
        <v>78.01323129494105</v>
      </c>
      <c r="O18" s="719">
        <f>transport!N54</f>
        <v>0</v>
      </c>
      <c r="P18" s="719">
        <f>transport!O54</f>
        <v>0</v>
      </c>
      <c r="Q18" s="720">
        <f>transport!P54</f>
        <v>0</v>
      </c>
      <c r="R18" s="722">
        <f>SUM(C18:Q18)</f>
        <v>1446.0163741939482</v>
      </c>
      <c r="S18" s="67"/>
    </row>
    <row r="19" spans="1:19" s="475" customFormat="1" ht="15" thickBot="1">
      <c r="A19" s="871" t="s">
        <v>307</v>
      </c>
      <c r="B19" s="876"/>
      <c r="C19" s="728">
        <f>transport!B14</f>
        <v>17.820193301927734</v>
      </c>
      <c r="D19" s="728">
        <f>transport!C14</f>
        <v>0</v>
      </c>
      <c r="E19" s="728">
        <f>transport!D14</f>
        <v>46.050274247095537</v>
      </c>
      <c r="F19" s="728">
        <f>transport!E14</f>
        <v>341.05679985934046</v>
      </c>
      <c r="G19" s="728">
        <f>transport!F14</f>
        <v>0</v>
      </c>
      <c r="H19" s="728">
        <f>transport!G14</f>
        <v>131639.47547501008</v>
      </c>
      <c r="I19" s="728">
        <f>transport!H14</f>
        <v>17930.531665288414</v>
      </c>
      <c r="J19" s="728">
        <f>transport!I14</f>
        <v>0</v>
      </c>
      <c r="K19" s="728">
        <f>transport!J14</f>
        <v>0</v>
      </c>
      <c r="L19" s="728">
        <f>transport!K14</f>
        <v>0</v>
      </c>
      <c r="M19" s="728">
        <f>transport!L14</f>
        <v>0</v>
      </c>
      <c r="N19" s="728">
        <f>transport!M14</f>
        <v>8166.7014896233313</v>
      </c>
      <c r="O19" s="728">
        <f>transport!N14</f>
        <v>0</v>
      </c>
      <c r="P19" s="728">
        <f>transport!O14</f>
        <v>0</v>
      </c>
      <c r="Q19" s="729">
        <f>transport!P14</f>
        <v>0</v>
      </c>
      <c r="R19" s="730">
        <f>SUM(C19:Q19)</f>
        <v>158141.63589733021</v>
      </c>
      <c r="S19" s="67"/>
    </row>
    <row r="20" spans="1:19" s="475" customFormat="1" ht="15.75" thickBot="1">
      <c r="A20" s="731" t="s">
        <v>230</v>
      </c>
      <c r="B20" s="879"/>
      <c r="C20" s="874">
        <f>SUM(C17:C19)</f>
        <v>17.820193301927734</v>
      </c>
      <c r="D20" s="732">
        <f t="shared" ref="D20:R20" si="1">SUM(D17:D19)</f>
        <v>0</v>
      </c>
      <c r="E20" s="732">
        <f t="shared" si="1"/>
        <v>46.050274247095537</v>
      </c>
      <c r="F20" s="732">
        <f t="shared" si="1"/>
        <v>341.05679985934046</v>
      </c>
      <c r="G20" s="732">
        <f t="shared" si="1"/>
        <v>0</v>
      </c>
      <c r="H20" s="732">
        <f t="shared" si="1"/>
        <v>133007.4786179091</v>
      </c>
      <c r="I20" s="732">
        <f t="shared" si="1"/>
        <v>17930.531665288414</v>
      </c>
      <c r="J20" s="732">
        <f t="shared" si="1"/>
        <v>0</v>
      </c>
      <c r="K20" s="732">
        <f t="shared" si="1"/>
        <v>0</v>
      </c>
      <c r="L20" s="732">
        <f t="shared" si="1"/>
        <v>0</v>
      </c>
      <c r="M20" s="732">
        <f t="shared" si="1"/>
        <v>0</v>
      </c>
      <c r="N20" s="732">
        <f t="shared" si="1"/>
        <v>8244.7147209182731</v>
      </c>
      <c r="O20" s="732">
        <f t="shared" si="1"/>
        <v>0</v>
      </c>
      <c r="P20" s="732">
        <f t="shared" si="1"/>
        <v>0</v>
      </c>
      <c r="Q20" s="733">
        <f t="shared" si="1"/>
        <v>0</v>
      </c>
      <c r="R20" s="734">
        <f t="shared" si="1"/>
        <v>159587.65227152416</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2041.3928000000001</v>
      </c>
      <c r="D22" s="728">
        <f>+landbouw!C8</f>
        <v>3573</v>
      </c>
      <c r="E22" s="728">
        <f>+landbouw!D8</f>
        <v>664.00674293109159</v>
      </c>
      <c r="F22" s="728">
        <f>+landbouw!E8</f>
        <v>18.908235127499157</v>
      </c>
      <c r="G22" s="728">
        <f>+landbouw!F8</f>
        <v>3694.4024185293183</v>
      </c>
      <c r="H22" s="728">
        <f>+landbouw!G8</f>
        <v>0</v>
      </c>
      <c r="I22" s="728">
        <f>+landbouw!H8</f>
        <v>0</v>
      </c>
      <c r="J22" s="728">
        <f>+landbouw!I8</f>
        <v>0</v>
      </c>
      <c r="K22" s="728">
        <f>+landbouw!J8</f>
        <v>312.96829825013941</v>
      </c>
      <c r="L22" s="728">
        <f>+landbouw!K8</f>
        <v>0</v>
      </c>
      <c r="M22" s="728">
        <f>+landbouw!L8</f>
        <v>0</v>
      </c>
      <c r="N22" s="728">
        <f>+landbouw!M8</f>
        <v>0</v>
      </c>
      <c r="O22" s="728">
        <f>+landbouw!N8</f>
        <v>0</v>
      </c>
      <c r="P22" s="728">
        <f>+landbouw!O8</f>
        <v>0</v>
      </c>
      <c r="Q22" s="729">
        <f>+landbouw!P8</f>
        <v>0</v>
      </c>
      <c r="R22" s="730">
        <f>SUM(C22:Q22)</f>
        <v>10304.678494838048</v>
      </c>
      <c r="S22" s="67"/>
    </row>
    <row r="23" spans="1:19" s="475" customFormat="1" ht="17.25" thickTop="1" thickBot="1">
      <c r="A23" s="735" t="s">
        <v>116</v>
      </c>
      <c r="B23" s="865"/>
      <c r="C23" s="736">
        <f ca="1">C20+C15+C22</f>
        <v>54385.794242470212</v>
      </c>
      <c r="D23" s="736">
        <f t="shared" ref="D23:Q23" ca="1" si="2">D20+D15+D22</f>
        <v>3573</v>
      </c>
      <c r="E23" s="736">
        <f t="shared" ca="1" si="2"/>
        <v>93983.317207552493</v>
      </c>
      <c r="F23" s="736">
        <f t="shared" si="2"/>
        <v>1865.4319714965136</v>
      </c>
      <c r="G23" s="736">
        <f t="shared" ca="1" si="2"/>
        <v>8872.8591258341439</v>
      </c>
      <c r="H23" s="736">
        <f t="shared" si="2"/>
        <v>133007.4786179091</v>
      </c>
      <c r="I23" s="736">
        <f t="shared" si="2"/>
        <v>17930.531665288414</v>
      </c>
      <c r="J23" s="736">
        <f t="shared" si="2"/>
        <v>0</v>
      </c>
      <c r="K23" s="736">
        <f t="shared" si="2"/>
        <v>1632.2265174944037</v>
      </c>
      <c r="L23" s="736">
        <f t="shared" si="2"/>
        <v>0</v>
      </c>
      <c r="M23" s="736">
        <f t="shared" ca="1" si="2"/>
        <v>0</v>
      </c>
      <c r="N23" s="736">
        <f t="shared" si="2"/>
        <v>8244.7147209182731</v>
      </c>
      <c r="O23" s="736">
        <f t="shared" ca="1" si="2"/>
        <v>15306.163651908792</v>
      </c>
      <c r="P23" s="736">
        <f t="shared" si="2"/>
        <v>284.5266666666667</v>
      </c>
      <c r="Q23" s="737">
        <f t="shared" si="2"/>
        <v>438.5333333333333</v>
      </c>
      <c r="R23" s="738">
        <f ca="1">R20+R15+R22</f>
        <v>339524.57772087236</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1791.9481105479756</v>
      </c>
      <c r="D36" s="719">
        <f ca="1">tertiair!C20</f>
        <v>0</v>
      </c>
      <c r="E36" s="719">
        <f ca="1">tertiair!D20</f>
        <v>2865.5202577412856</v>
      </c>
      <c r="F36" s="719">
        <f>tertiair!E20</f>
        <v>30.864523709387786</v>
      </c>
      <c r="G36" s="719">
        <f ca="1">tertiair!F20</f>
        <v>474.29222034006779</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5162.6251123387165</v>
      </c>
    </row>
    <row r="37" spans="1:18">
      <c r="A37" s="886" t="s">
        <v>225</v>
      </c>
      <c r="B37" s="893"/>
      <c r="C37" s="719">
        <f ca="1">huishoudens!B12</f>
        <v>4252.4291926516189</v>
      </c>
      <c r="D37" s="719">
        <f ca="1">huishoudens!C12</f>
        <v>0</v>
      </c>
      <c r="E37" s="719">
        <f>huishoudens!D12</f>
        <v>14045.197668767545</v>
      </c>
      <c r="F37" s="719">
        <f>huishoudens!E12</f>
        <v>160.64190117197879</v>
      </c>
      <c r="G37" s="719">
        <f>huishoudens!F12</f>
        <v>0</v>
      </c>
      <c r="H37" s="719">
        <f>huishoudens!G12</f>
        <v>0</v>
      </c>
      <c r="I37" s="719">
        <f>huishoudens!H12</f>
        <v>0</v>
      </c>
      <c r="J37" s="719">
        <f>huishoudens!I12</f>
        <v>0</v>
      </c>
      <c r="K37" s="719">
        <f>huishoudens!J12</f>
        <v>453.24097758294545</v>
      </c>
      <c r="L37" s="719">
        <f>huishoudens!K12</f>
        <v>0</v>
      </c>
      <c r="M37" s="719">
        <f>huishoudens!L12</f>
        <v>0</v>
      </c>
      <c r="N37" s="719">
        <f>huishoudens!M12</f>
        <v>0</v>
      </c>
      <c r="O37" s="719">
        <f>huishoudens!N12</f>
        <v>0</v>
      </c>
      <c r="P37" s="719">
        <f>huishoudens!O12</f>
        <v>0</v>
      </c>
      <c r="Q37" s="829">
        <f>huishoudens!P12</f>
        <v>0</v>
      </c>
      <c r="R37" s="918">
        <f ca="1">SUM(C37:Q37)</f>
        <v>18911.509740174086</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1140.5045556534692</v>
      </c>
      <c r="D39" s="719">
        <f ca="1">industrie!C22</f>
        <v>0</v>
      </c>
      <c r="E39" s="719">
        <f>industrie!D22</f>
        <v>1930.4806319467814</v>
      </c>
      <c r="F39" s="719">
        <f>industrie!E22</f>
        <v>150.23456970632938</v>
      </c>
      <c r="G39" s="719">
        <f>industrie!F22</f>
        <v>908.35572051032091</v>
      </c>
      <c r="H39" s="719">
        <f>industrie!G22</f>
        <v>0</v>
      </c>
      <c r="I39" s="719">
        <f>industrie!H22</f>
        <v>0</v>
      </c>
      <c r="J39" s="719">
        <f>industrie!I22</f>
        <v>0</v>
      </c>
      <c r="K39" s="719">
        <f>industrie!J22</f>
        <v>13.776432029524065</v>
      </c>
      <c r="L39" s="719">
        <f>industrie!K22</f>
        <v>0</v>
      </c>
      <c r="M39" s="719">
        <f>industrie!L22</f>
        <v>0</v>
      </c>
      <c r="N39" s="719">
        <f>industrie!M22</f>
        <v>0</v>
      </c>
      <c r="O39" s="719">
        <f>industrie!N22</f>
        <v>0</v>
      </c>
      <c r="P39" s="719">
        <f>industrie!O22</f>
        <v>0</v>
      </c>
      <c r="Q39" s="829">
        <f>industrie!P22</f>
        <v>0</v>
      </c>
      <c r="R39" s="919">
        <f ca="1">SUM(C39:Q39)</f>
        <v>4143.351909846424</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7184.881858853063</v>
      </c>
      <c r="D41" s="764">
        <f t="shared" ref="D41:R41" ca="1" si="4">SUM(D35:D40)</f>
        <v>0</v>
      </c>
      <c r="E41" s="764">
        <f t="shared" ca="1" si="4"/>
        <v>18841.198558455613</v>
      </c>
      <c r="F41" s="764">
        <f t="shared" si="4"/>
        <v>341.74099458769592</v>
      </c>
      <c r="G41" s="764">
        <f t="shared" ca="1" si="4"/>
        <v>1382.6479408503887</v>
      </c>
      <c r="H41" s="764">
        <f t="shared" si="4"/>
        <v>0</v>
      </c>
      <c r="I41" s="764">
        <f t="shared" si="4"/>
        <v>0</v>
      </c>
      <c r="J41" s="764">
        <f t="shared" si="4"/>
        <v>0</v>
      </c>
      <c r="K41" s="764">
        <f t="shared" si="4"/>
        <v>467.01740961246952</v>
      </c>
      <c r="L41" s="764">
        <f t="shared" si="4"/>
        <v>0</v>
      </c>
      <c r="M41" s="764">
        <f t="shared" ca="1" si="4"/>
        <v>0</v>
      </c>
      <c r="N41" s="764">
        <f t="shared" si="4"/>
        <v>0</v>
      </c>
      <c r="O41" s="764">
        <f t="shared" ca="1" si="4"/>
        <v>0</v>
      </c>
      <c r="P41" s="764">
        <f t="shared" si="4"/>
        <v>0</v>
      </c>
      <c r="Q41" s="765">
        <f t="shared" si="4"/>
        <v>0</v>
      </c>
      <c r="R41" s="766">
        <f t="shared" ca="1" si="4"/>
        <v>28217.486762359225</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365.25683915403494</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365.25683915403494</v>
      </c>
    </row>
    <row r="45" spans="1:18" ht="15" thickBot="1">
      <c r="A45" s="889" t="s">
        <v>307</v>
      </c>
      <c r="B45" s="899"/>
      <c r="C45" s="728">
        <f ca="1">transport!B18</f>
        <v>2.4468631529087439</v>
      </c>
      <c r="D45" s="728">
        <f>transport!C18</f>
        <v>0</v>
      </c>
      <c r="E45" s="728">
        <f>transport!D18</f>
        <v>9.3021553979132996</v>
      </c>
      <c r="F45" s="728">
        <f>transport!E18</f>
        <v>77.419893568070293</v>
      </c>
      <c r="G45" s="728">
        <f>transport!F18</f>
        <v>0</v>
      </c>
      <c r="H45" s="728">
        <f>transport!G18</f>
        <v>35147.739951827694</v>
      </c>
      <c r="I45" s="728">
        <f>transport!H18</f>
        <v>4464.7023846568154</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39701.611248603396</v>
      </c>
    </row>
    <row r="46" spans="1:18" ht="15.75" thickBot="1">
      <c r="A46" s="887" t="s">
        <v>230</v>
      </c>
      <c r="B46" s="900"/>
      <c r="C46" s="764">
        <f t="shared" ref="C46:R46" ca="1" si="5">SUM(C43:C45)</f>
        <v>2.4468631529087439</v>
      </c>
      <c r="D46" s="764">
        <f t="shared" ca="1" si="5"/>
        <v>0</v>
      </c>
      <c r="E46" s="764">
        <f t="shared" si="5"/>
        <v>9.3021553979132996</v>
      </c>
      <c r="F46" s="764">
        <f t="shared" si="5"/>
        <v>77.419893568070293</v>
      </c>
      <c r="G46" s="764">
        <f t="shared" si="5"/>
        <v>0</v>
      </c>
      <c r="H46" s="764">
        <f t="shared" si="5"/>
        <v>35512.996790981728</v>
      </c>
      <c r="I46" s="764">
        <f t="shared" si="5"/>
        <v>4464.7023846568154</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40066.86808775743</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280.30048486583274</v>
      </c>
      <c r="D48" s="719">
        <f ca="1">+landbouw!C12</f>
        <v>412.80125170998633</v>
      </c>
      <c r="E48" s="719">
        <f>+landbouw!D12</f>
        <v>134.12936207208051</v>
      </c>
      <c r="F48" s="719">
        <f>+landbouw!E12</f>
        <v>4.2921693739423086</v>
      </c>
      <c r="G48" s="719">
        <f>+landbouw!F12</f>
        <v>986.40544574732803</v>
      </c>
      <c r="H48" s="719">
        <f>+landbouw!G12</f>
        <v>0</v>
      </c>
      <c r="I48" s="719">
        <f>+landbouw!H12</f>
        <v>0</v>
      </c>
      <c r="J48" s="719">
        <f>+landbouw!I12</f>
        <v>0</v>
      </c>
      <c r="K48" s="719">
        <f>+landbouw!J12</f>
        <v>110.79077758054935</v>
      </c>
      <c r="L48" s="719">
        <f>+landbouw!K12</f>
        <v>0</v>
      </c>
      <c r="M48" s="719">
        <f>+landbouw!L12</f>
        <v>0</v>
      </c>
      <c r="N48" s="719">
        <f>+landbouw!M12</f>
        <v>0</v>
      </c>
      <c r="O48" s="719">
        <f>+landbouw!N12</f>
        <v>0</v>
      </c>
      <c r="P48" s="719">
        <f>+landbouw!O12</f>
        <v>0</v>
      </c>
      <c r="Q48" s="720">
        <f>+landbouw!P12</f>
        <v>0</v>
      </c>
      <c r="R48" s="762">
        <f ca="1">SUM(C48:Q48)</f>
        <v>1928.7194913497192</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7467.6292068718049</v>
      </c>
      <c r="D53" s="774">
        <f t="shared" ref="D53:Q53" ca="1" si="6">D41+D46+D48</f>
        <v>412.80125170998633</v>
      </c>
      <c r="E53" s="774">
        <f t="shared" ca="1" si="6"/>
        <v>18984.630075925605</v>
      </c>
      <c r="F53" s="774">
        <f t="shared" si="6"/>
        <v>423.45305752970853</v>
      </c>
      <c r="G53" s="774">
        <f t="shared" ca="1" si="6"/>
        <v>2369.0533865977168</v>
      </c>
      <c r="H53" s="774">
        <f t="shared" si="6"/>
        <v>35512.996790981728</v>
      </c>
      <c r="I53" s="774">
        <f t="shared" si="6"/>
        <v>4464.7023846568154</v>
      </c>
      <c r="J53" s="774">
        <f t="shared" si="6"/>
        <v>0</v>
      </c>
      <c r="K53" s="774">
        <f t="shared" si="6"/>
        <v>577.80818719301885</v>
      </c>
      <c r="L53" s="774">
        <f t="shared" si="6"/>
        <v>0</v>
      </c>
      <c r="M53" s="774">
        <f t="shared" ca="1" si="6"/>
        <v>0</v>
      </c>
      <c r="N53" s="774">
        <f t="shared" si="6"/>
        <v>0</v>
      </c>
      <c r="O53" s="774">
        <f t="shared" ca="1" si="6"/>
        <v>0</v>
      </c>
      <c r="P53" s="774">
        <f>P41+P46+P48</f>
        <v>0</v>
      </c>
      <c r="Q53" s="775">
        <f t="shared" si="6"/>
        <v>0</v>
      </c>
      <c r="R53" s="776">
        <f ca="1">R41+R46+R48</f>
        <v>70213.074341466374</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0.13730845179126364</v>
      </c>
      <c r="D55" s="837">
        <f t="shared" ca="1" si="7"/>
        <v>0.11553351573187415</v>
      </c>
      <c r="E55" s="837">
        <f t="shared" ca="1" si="7"/>
        <v>0.20200000000000001</v>
      </c>
      <c r="F55" s="837">
        <f t="shared" si="7"/>
        <v>0.22699999999999998</v>
      </c>
      <c r="G55" s="837">
        <f t="shared" ca="1" si="7"/>
        <v>0.26700000000000002</v>
      </c>
      <c r="H55" s="837">
        <f t="shared" si="7"/>
        <v>0.26699999999999996</v>
      </c>
      <c r="I55" s="837">
        <f t="shared" si="7"/>
        <v>0.24900000000000003</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14541.107212136543</v>
      </c>
      <c r="C64" s="796">
        <f>'lokale energieproductie'!B4</f>
        <v>14541.107212136543</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4619.9745480631191</v>
      </c>
      <c r="C66" s="796">
        <f>'lokale energieproductie'!B6</f>
        <v>4619.9745480631191</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3006</v>
      </c>
      <c r="C67" s="795">
        <f>B67*IFERROR(SUM(J67:L67)/SUM(D67:M67),0)</f>
        <v>1730.1976744186045</v>
      </c>
      <c r="D67" s="827">
        <f>'lokale energieproductie'!C7</f>
        <v>822.43502051983614</v>
      </c>
      <c r="E67" s="828">
        <f>'lokale energieproductie'!D7</f>
        <v>0</v>
      </c>
      <c r="F67" s="828">
        <f>'lokale energieproductie'!E7</f>
        <v>678.50889192886461</v>
      </c>
      <c r="G67" s="828">
        <f>'lokale energieproductie'!F7</f>
        <v>0</v>
      </c>
      <c r="H67" s="828">
        <f>'lokale energieproductie'!G7</f>
        <v>0</v>
      </c>
      <c r="I67" s="828">
        <f>'lokale energieproductie'!H7</f>
        <v>0</v>
      </c>
      <c r="J67" s="828">
        <f>'lokale energieproductie'!I7</f>
        <v>2035.5266757865938</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347.29374829001381</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22167.08176019966</v>
      </c>
      <c r="C69" s="804">
        <f>SUM(C64:C68)</f>
        <v>20891.279434618264</v>
      </c>
      <c r="D69" s="805">
        <f t="shared" ref="D69:M69" si="8">SUM(D67:D68)</f>
        <v>822.43502051983614</v>
      </c>
      <c r="E69" s="805">
        <f t="shared" si="8"/>
        <v>0</v>
      </c>
      <c r="F69" s="805">
        <f t="shared" si="8"/>
        <v>678.50889192886461</v>
      </c>
      <c r="G69" s="805">
        <f t="shared" si="8"/>
        <v>0</v>
      </c>
      <c r="H69" s="805">
        <f t="shared" si="8"/>
        <v>0</v>
      </c>
      <c r="I69" s="805">
        <f t="shared" si="8"/>
        <v>0</v>
      </c>
      <c r="J69" s="805">
        <f t="shared" si="8"/>
        <v>2035.5266757865938</v>
      </c>
      <c r="K69" s="805">
        <f t="shared" si="8"/>
        <v>0</v>
      </c>
      <c r="L69" s="805">
        <f t="shared" si="8"/>
        <v>0</v>
      </c>
      <c r="M69" s="931">
        <f t="shared" si="8"/>
        <v>0</v>
      </c>
      <c r="N69" s="806">
        <v>0</v>
      </c>
      <c r="O69" s="806">
        <f>SUM(O67:O68)</f>
        <v>347.29374829001381</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3573</v>
      </c>
      <c r="C78" s="818">
        <f>B78*IFERROR(SUM(I78:L78)/SUM(D78:M78),0)</f>
        <v>2056.5523255813951</v>
      </c>
      <c r="D78" s="833">
        <f>'lokale energieproductie'!C16</f>
        <v>977.56497948016431</v>
      </c>
      <c r="E78" s="833">
        <f>'lokale energieproductie'!D16</f>
        <v>0</v>
      </c>
      <c r="F78" s="833">
        <f>'lokale energieproductie'!E16</f>
        <v>806.49110807113539</v>
      </c>
      <c r="G78" s="833">
        <f>'lokale energieproductie'!F16</f>
        <v>0</v>
      </c>
      <c r="H78" s="833">
        <f>'lokale energieproductie'!G16</f>
        <v>0</v>
      </c>
      <c r="I78" s="833">
        <f>'lokale energieproductie'!H16</f>
        <v>0</v>
      </c>
      <c r="J78" s="833">
        <f>'lokale energieproductie'!I16</f>
        <v>2419.4733242134062</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412.80125170998633</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3573</v>
      </c>
      <c r="C81" s="804">
        <f>SUM(C78:C80)</f>
        <v>2056.5523255813951</v>
      </c>
      <c r="D81" s="804">
        <f t="shared" ref="D81:P81" si="9">SUM(D78:D80)</f>
        <v>977.56497948016431</v>
      </c>
      <c r="E81" s="804">
        <f t="shared" si="9"/>
        <v>0</v>
      </c>
      <c r="F81" s="804">
        <f t="shared" si="9"/>
        <v>806.49110807113539</v>
      </c>
      <c r="G81" s="804">
        <f t="shared" si="9"/>
        <v>0</v>
      </c>
      <c r="H81" s="804">
        <f t="shared" si="9"/>
        <v>0</v>
      </c>
      <c r="I81" s="804">
        <f t="shared" si="9"/>
        <v>0</v>
      </c>
      <c r="J81" s="804">
        <f t="shared" si="9"/>
        <v>2419.4733242134062</v>
      </c>
      <c r="K81" s="804">
        <f t="shared" si="9"/>
        <v>0</v>
      </c>
      <c r="L81" s="804">
        <f t="shared" si="9"/>
        <v>0</v>
      </c>
      <c r="M81" s="804">
        <f t="shared" si="9"/>
        <v>0</v>
      </c>
      <c r="N81" s="804">
        <v>0</v>
      </c>
      <c r="O81" s="804">
        <f>SUM(O78:O80)</f>
        <v>412.80125170998633</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30969.901249168277</v>
      </c>
      <c r="C4" s="479">
        <f>huishoudens!C8</f>
        <v>0</v>
      </c>
      <c r="D4" s="479">
        <f>huishoudens!D8</f>
        <v>69530.681528552203</v>
      </c>
      <c r="E4" s="479">
        <f>huishoudens!E8</f>
        <v>707.67357344484049</v>
      </c>
      <c r="F4" s="479">
        <f>huishoudens!F8</f>
        <v>0</v>
      </c>
      <c r="G4" s="479">
        <f>huishoudens!G8</f>
        <v>0</v>
      </c>
      <c r="H4" s="479">
        <f>huishoudens!H8</f>
        <v>0</v>
      </c>
      <c r="I4" s="479">
        <f>huishoudens!I8</f>
        <v>0</v>
      </c>
      <c r="J4" s="479">
        <f>huishoudens!J8</f>
        <v>1280.3417445845917</v>
      </c>
      <c r="K4" s="479">
        <f>huishoudens!K8</f>
        <v>0</v>
      </c>
      <c r="L4" s="479">
        <f>huishoudens!L8</f>
        <v>0</v>
      </c>
      <c r="M4" s="479">
        <f>huishoudens!M8</f>
        <v>0</v>
      </c>
      <c r="N4" s="479">
        <f>huishoudens!N8</f>
        <v>12434.396455948383</v>
      </c>
      <c r="O4" s="479">
        <f>huishoudens!O8</f>
        <v>281.40000000000003</v>
      </c>
      <c r="P4" s="480">
        <f>huishoudens!P8</f>
        <v>438.5333333333333</v>
      </c>
      <c r="Q4" s="481">
        <f>SUM(B4:P4)</f>
        <v>115642.92788503163</v>
      </c>
    </row>
    <row r="5" spans="1:17">
      <c r="A5" s="478" t="s">
        <v>156</v>
      </c>
      <c r="B5" s="479">
        <f ca="1">tertiair!B16</f>
        <v>11888.986299999999</v>
      </c>
      <c r="C5" s="479">
        <f ca="1">tertiair!C16</f>
        <v>0</v>
      </c>
      <c r="D5" s="479">
        <f ca="1">tertiair!D16</f>
        <v>14185.743850204384</v>
      </c>
      <c r="E5" s="479">
        <f>tertiair!E16</f>
        <v>135.96706479906513</v>
      </c>
      <c r="F5" s="479">
        <f ca="1">tertiair!F16</f>
        <v>1776.3753570789054</v>
      </c>
      <c r="G5" s="479">
        <f>tertiair!G16</f>
        <v>0</v>
      </c>
      <c r="H5" s="479">
        <f>tertiair!H16</f>
        <v>0</v>
      </c>
      <c r="I5" s="479">
        <f>tertiair!I16</f>
        <v>0</v>
      </c>
      <c r="J5" s="479">
        <f>tertiair!J16</f>
        <v>0</v>
      </c>
      <c r="K5" s="479">
        <f>tertiair!K16</f>
        <v>0</v>
      </c>
      <c r="L5" s="479">
        <f ca="1">tertiair!L16</f>
        <v>0</v>
      </c>
      <c r="M5" s="479">
        <f>tertiair!M16</f>
        <v>0</v>
      </c>
      <c r="N5" s="479">
        <f ca="1">tertiair!N16</f>
        <v>1013.6210500610476</v>
      </c>
      <c r="O5" s="479">
        <f>tertiair!O16</f>
        <v>3.1266666666666669</v>
      </c>
      <c r="P5" s="480">
        <f>tertiair!P16</f>
        <v>0</v>
      </c>
      <c r="Q5" s="478">
        <f t="shared" ref="Q5:Q13" ca="1" si="0">SUM(B5:P5)</f>
        <v>29003.820288810068</v>
      </c>
    </row>
    <row r="6" spans="1:17">
      <c r="A6" s="478" t="s">
        <v>194</v>
      </c>
      <c r="B6" s="479">
        <f>'openbare verlichting'!B8</f>
        <v>1161.5440000000001</v>
      </c>
      <c r="C6" s="479"/>
      <c r="D6" s="479"/>
      <c r="E6" s="479"/>
      <c r="F6" s="479"/>
      <c r="G6" s="479"/>
      <c r="H6" s="479"/>
      <c r="I6" s="479"/>
      <c r="J6" s="479"/>
      <c r="K6" s="479"/>
      <c r="L6" s="479"/>
      <c r="M6" s="479"/>
      <c r="N6" s="479"/>
      <c r="O6" s="479"/>
      <c r="P6" s="480"/>
      <c r="Q6" s="478">
        <f t="shared" si="0"/>
        <v>1161.5440000000001</v>
      </c>
    </row>
    <row r="7" spans="1:17">
      <c r="A7" s="478" t="s">
        <v>112</v>
      </c>
      <c r="B7" s="479">
        <f>landbouw!B8</f>
        <v>2041.3928000000001</v>
      </c>
      <c r="C7" s="479">
        <f>landbouw!C8</f>
        <v>3573</v>
      </c>
      <c r="D7" s="479">
        <f>landbouw!D8</f>
        <v>664.00674293109159</v>
      </c>
      <c r="E7" s="479">
        <f>landbouw!E8</f>
        <v>18.908235127499157</v>
      </c>
      <c r="F7" s="479">
        <f>landbouw!F8</f>
        <v>3694.4024185293183</v>
      </c>
      <c r="G7" s="479">
        <f>landbouw!G8</f>
        <v>0</v>
      </c>
      <c r="H7" s="479">
        <f>landbouw!H8</f>
        <v>0</v>
      </c>
      <c r="I7" s="479">
        <f>landbouw!I8</f>
        <v>0</v>
      </c>
      <c r="J7" s="479">
        <f>landbouw!J8</f>
        <v>312.96829825013941</v>
      </c>
      <c r="K7" s="479">
        <f>landbouw!K8</f>
        <v>0</v>
      </c>
      <c r="L7" s="479">
        <f>landbouw!L8</f>
        <v>0</v>
      </c>
      <c r="M7" s="479">
        <f>landbouw!M8</f>
        <v>0</v>
      </c>
      <c r="N7" s="479">
        <f>landbouw!N8</f>
        <v>0</v>
      </c>
      <c r="O7" s="479">
        <f>landbouw!O8</f>
        <v>0</v>
      </c>
      <c r="P7" s="480">
        <f>landbouw!P8</f>
        <v>0</v>
      </c>
      <c r="Q7" s="478">
        <f t="shared" si="0"/>
        <v>10304.678494838048</v>
      </c>
    </row>
    <row r="8" spans="1:17">
      <c r="A8" s="478" t="s">
        <v>650</v>
      </c>
      <c r="B8" s="479">
        <f>industrie!B18</f>
        <v>8306.1496999999999</v>
      </c>
      <c r="C8" s="479">
        <f>industrie!C18</f>
        <v>0</v>
      </c>
      <c r="D8" s="479">
        <f>industrie!D18</f>
        <v>9556.8348116177294</v>
      </c>
      <c r="E8" s="479">
        <f>industrie!E18</f>
        <v>661.82629826576817</v>
      </c>
      <c r="F8" s="479">
        <f>industrie!F18</f>
        <v>3402.0813502259207</v>
      </c>
      <c r="G8" s="479">
        <f>industrie!G18</f>
        <v>0</v>
      </c>
      <c r="H8" s="479">
        <f>industrie!H18</f>
        <v>0</v>
      </c>
      <c r="I8" s="479">
        <f>industrie!I18</f>
        <v>0</v>
      </c>
      <c r="J8" s="479">
        <f>industrie!J18</f>
        <v>38.916474659672502</v>
      </c>
      <c r="K8" s="479">
        <f>industrie!K18</f>
        <v>0</v>
      </c>
      <c r="L8" s="479">
        <f>industrie!L18</f>
        <v>0</v>
      </c>
      <c r="M8" s="479">
        <f>industrie!M18</f>
        <v>0</v>
      </c>
      <c r="N8" s="479">
        <f>industrie!N18</f>
        <v>1858.146145899362</v>
      </c>
      <c r="O8" s="479">
        <f>industrie!O18</f>
        <v>0</v>
      </c>
      <c r="P8" s="480">
        <f>industrie!P18</f>
        <v>0</v>
      </c>
      <c r="Q8" s="478">
        <f t="shared" si="0"/>
        <v>23823.954780668453</v>
      </c>
    </row>
    <row r="9" spans="1:17" s="484" customFormat="1">
      <c r="A9" s="482" t="s">
        <v>571</v>
      </c>
      <c r="B9" s="483">
        <f>transport!B14</f>
        <v>17.820193301927734</v>
      </c>
      <c r="C9" s="483">
        <f>transport!C14</f>
        <v>0</v>
      </c>
      <c r="D9" s="483">
        <f>transport!D14</f>
        <v>46.050274247095537</v>
      </c>
      <c r="E9" s="483">
        <f>transport!E14</f>
        <v>341.05679985934046</v>
      </c>
      <c r="F9" s="483">
        <f>transport!F14</f>
        <v>0</v>
      </c>
      <c r="G9" s="483">
        <f>transport!G14</f>
        <v>131639.47547501008</v>
      </c>
      <c r="H9" s="483">
        <f>transport!H14</f>
        <v>17930.531665288414</v>
      </c>
      <c r="I9" s="483">
        <f>transport!I14</f>
        <v>0</v>
      </c>
      <c r="J9" s="483">
        <f>transport!J14</f>
        <v>0</v>
      </c>
      <c r="K9" s="483">
        <f>transport!K14</f>
        <v>0</v>
      </c>
      <c r="L9" s="483">
        <f>transport!L14</f>
        <v>0</v>
      </c>
      <c r="M9" s="483">
        <f>transport!M14</f>
        <v>8166.7014896233313</v>
      </c>
      <c r="N9" s="483">
        <f>transport!N14</f>
        <v>0</v>
      </c>
      <c r="O9" s="483">
        <f>transport!O14</f>
        <v>0</v>
      </c>
      <c r="P9" s="483">
        <f>transport!P14</f>
        <v>0</v>
      </c>
      <c r="Q9" s="482">
        <f>SUM(B9:P9)</f>
        <v>158141.63589733021</v>
      </c>
    </row>
    <row r="10" spans="1:17">
      <c r="A10" s="478" t="s">
        <v>561</v>
      </c>
      <c r="B10" s="479">
        <f>transport!B54</f>
        <v>0</v>
      </c>
      <c r="C10" s="479">
        <f>transport!C54</f>
        <v>0</v>
      </c>
      <c r="D10" s="479">
        <f>transport!D54</f>
        <v>0</v>
      </c>
      <c r="E10" s="479">
        <f>transport!E54</f>
        <v>0</v>
      </c>
      <c r="F10" s="479">
        <f>transport!F54</f>
        <v>0</v>
      </c>
      <c r="G10" s="479">
        <f>transport!G54</f>
        <v>1368.0031428990071</v>
      </c>
      <c r="H10" s="479">
        <f>transport!H54</f>
        <v>0</v>
      </c>
      <c r="I10" s="479">
        <f>transport!I54</f>
        <v>0</v>
      </c>
      <c r="J10" s="479">
        <f>transport!J54</f>
        <v>0</v>
      </c>
      <c r="K10" s="479">
        <f>transport!K54</f>
        <v>0</v>
      </c>
      <c r="L10" s="479">
        <f>transport!L54</f>
        <v>0</v>
      </c>
      <c r="M10" s="479">
        <f>transport!M54</f>
        <v>78.01323129494105</v>
      </c>
      <c r="N10" s="479">
        <f>transport!N54</f>
        <v>0</v>
      </c>
      <c r="O10" s="479">
        <f>transport!O54</f>
        <v>0</v>
      </c>
      <c r="P10" s="480">
        <f>transport!P54</f>
        <v>0</v>
      </c>
      <c r="Q10" s="478">
        <f t="shared" si="0"/>
        <v>1446.0163741939482</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54385.794242470212</v>
      </c>
      <c r="C14" s="489">
        <f t="shared" ref="C14:Q14" ca="1" si="1">SUM(C4:C13)</f>
        <v>3573</v>
      </c>
      <c r="D14" s="489">
        <f t="shared" ca="1" si="1"/>
        <v>93983.317207552493</v>
      </c>
      <c r="E14" s="489">
        <f t="shared" si="1"/>
        <v>1865.4319714965136</v>
      </c>
      <c r="F14" s="489">
        <f t="shared" ca="1" si="1"/>
        <v>8872.8591258341439</v>
      </c>
      <c r="G14" s="489">
        <f t="shared" si="1"/>
        <v>133007.4786179091</v>
      </c>
      <c r="H14" s="489">
        <f t="shared" si="1"/>
        <v>17930.531665288414</v>
      </c>
      <c r="I14" s="489">
        <f t="shared" si="1"/>
        <v>0</v>
      </c>
      <c r="J14" s="489">
        <f t="shared" si="1"/>
        <v>1632.2265174944037</v>
      </c>
      <c r="K14" s="489">
        <f t="shared" si="1"/>
        <v>0</v>
      </c>
      <c r="L14" s="489">
        <f t="shared" ca="1" si="1"/>
        <v>0</v>
      </c>
      <c r="M14" s="489">
        <f t="shared" si="1"/>
        <v>8244.7147209182731</v>
      </c>
      <c r="N14" s="489">
        <f t="shared" ca="1" si="1"/>
        <v>15306.163651908792</v>
      </c>
      <c r="O14" s="489">
        <f t="shared" si="1"/>
        <v>284.5266666666667</v>
      </c>
      <c r="P14" s="490">
        <f t="shared" si="1"/>
        <v>438.5333333333333</v>
      </c>
      <c r="Q14" s="490">
        <f t="shared" ca="1" si="1"/>
        <v>339524.57772087236</v>
      </c>
    </row>
    <row r="16" spans="1:17">
      <c r="A16" s="492" t="s">
        <v>566</v>
      </c>
      <c r="B16" s="842">
        <f ca="1">huishoudens!B10</f>
        <v>0.13730845179126366</v>
      </c>
      <c r="C16" s="842">
        <f ca="1">huishoudens!C10</f>
        <v>0.11553351573187415</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4252.4291926516189</v>
      </c>
      <c r="C21" s="479">
        <f t="shared" ref="C21:C30" ca="1" si="3">C4*$C$16</f>
        <v>0</v>
      </c>
      <c r="D21" s="479">
        <f t="shared" ref="D21:D30" si="4">D4*$D$16</f>
        <v>14045.197668767545</v>
      </c>
      <c r="E21" s="479">
        <f t="shared" ref="E21:E30" si="5">E4*$E$16</f>
        <v>160.64190117197879</v>
      </c>
      <c r="F21" s="479">
        <f t="shared" ref="F21:F30" si="6">F4*$F$16</f>
        <v>0</v>
      </c>
      <c r="G21" s="479">
        <f t="shared" ref="G21:G30" si="7">G4*$G$16</f>
        <v>0</v>
      </c>
      <c r="H21" s="479">
        <f t="shared" ref="H21:H30" si="8">H4*$H$16</f>
        <v>0</v>
      </c>
      <c r="I21" s="479">
        <f t="shared" ref="I21:I30" si="9">I4*$I$16</f>
        <v>0</v>
      </c>
      <c r="J21" s="479">
        <f t="shared" ref="J21:J30" si="10">J4*$J$16</f>
        <v>453.24097758294545</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18911.509740174086</v>
      </c>
    </row>
    <row r="22" spans="1:17">
      <c r="A22" s="478" t="s">
        <v>156</v>
      </c>
      <c r="B22" s="479">
        <f t="shared" ca="1" si="2"/>
        <v>1632.4583022205441</v>
      </c>
      <c r="C22" s="479">
        <f t="shared" ca="1" si="3"/>
        <v>0</v>
      </c>
      <c r="D22" s="479">
        <f t="shared" ca="1" si="4"/>
        <v>2865.5202577412856</v>
      </c>
      <c r="E22" s="479">
        <f t="shared" si="5"/>
        <v>30.864523709387786</v>
      </c>
      <c r="F22" s="479">
        <f t="shared" ca="1" si="6"/>
        <v>474.29222034006779</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5003.1353040112854</v>
      </c>
    </row>
    <row r="23" spans="1:17">
      <c r="A23" s="478" t="s">
        <v>194</v>
      </c>
      <c r="B23" s="479">
        <f t="shared" ca="1" si="2"/>
        <v>159.48980832743158</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159.48980832743158</v>
      </c>
    </row>
    <row r="24" spans="1:17">
      <c r="A24" s="478" t="s">
        <v>112</v>
      </c>
      <c r="B24" s="479">
        <f t="shared" ca="1" si="2"/>
        <v>280.30048486583274</v>
      </c>
      <c r="C24" s="479">
        <f t="shared" ca="1" si="3"/>
        <v>412.80125170998633</v>
      </c>
      <c r="D24" s="479">
        <f t="shared" si="4"/>
        <v>134.12936207208051</v>
      </c>
      <c r="E24" s="479">
        <f t="shared" si="5"/>
        <v>4.2921693739423086</v>
      </c>
      <c r="F24" s="479">
        <f t="shared" si="6"/>
        <v>986.40544574732803</v>
      </c>
      <c r="G24" s="479">
        <f t="shared" si="7"/>
        <v>0</v>
      </c>
      <c r="H24" s="479">
        <f t="shared" si="8"/>
        <v>0</v>
      </c>
      <c r="I24" s="479">
        <f t="shared" si="9"/>
        <v>0</v>
      </c>
      <c r="J24" s="479">
        <f t="shared" si="10"/>
        <v>110.79077758054935</v>
      </c>
      <c r="K24" s="479">
        <f t="shared" si="11"/>
        <v>0</v>
      </c>
      <c r="L24" s="479">
        <f t="shared" si="12"/>
        <v>0</v>
      </c>
      <c r="M24" s="479">
        <f t="shared" si="13"/>
        <v>0</v>
      </c>
      <c r="N24" s="479">
        <f t="shared" si="14"/>
        <v>0</v>
      </c>
      <c r="O24" s="479">
        <f t="shared" si="15"/>
        <v>0</v>
      </c>
      <c r="P24" s="480">
        <f t="shared" si="16"/>
        <v>0</v>
      </c>
      <c r="Q24" s="478">
        <f t="shared" ca="1" si="17"/>
        <v>1928.7194913497192</v>
      </c>
    </row>
    <row r="25" spans="1:17">
      <c r="A25" s="478" t="s">
        <v>650</v>
      </c>
      <c r="B25" s="479">
        <f t="shared" ca="1" si="2"/>
        <v>1140.5045556534692</v>
      </c>
      <c r="C25" s="479">
        <f t="shared" ca="1" si="3"/>
        <v>0</v>
      </c>
      <c r="D25" s="479">
        <f t="shared" si="4"/>
        <v>1930.4806319467814</v>
      </c>
      <c r="E25" s="479">
        <f t="shared" si="5"/>
        <v>150.23456970632938</v>
      </c>
      <c r="F25" s="479">
        <f t="shared" si="6"/>
        <v>908.35572051032091</v>
      </c>
      <c r="G25" s="479">
        <f t="shared" si="7"/>
        <v>0</v>
      </c>
      <c r="H25" s="479">
        <f t="shared" si="8"/>
        <v>0</v>
      </c>
      <c r="I25" s="479">
        <f t="shared" si="9"/>
        <v>0</v>
      </c>
      <c r="J25" s="479">
        <f t="shared" si="10"/>
        <v>13.776432029524065</v>
      </c>
      <c r="K25" s="479">
        <f t="shared" si="11"/>
        <v>0</v>
      </c>
      <c r="L25" s="479">
        <f t="shared" si="12"/>
        <v>0</v>
      </c>
      <c r="M25" s="479">
        <f t="shared" si="13"/>
        <v>0</v>
      </c>
      <c r="N25" s="479">
        <f t="shared" si="14"/>
        <v>0</v>
      </c>
      <c r="O25" s="479">
        <f t="shared" si="15"/>
        <v>0</v>
      </c>
      <c r="P25" s="480">
        <f t="shared" si="16"/>
        <v>0</v>
      </c>
      <c r="Q25" s="478">
        <f t="shared" ca="1" si="17"/>
        <v>4143.351909846424</v>
      </c>
    </row>
    <row r="26" spans="1:17" s="484" customFormat="1">
      <c r="A26" s="482" t="s">
        <v>571</v>
      </c>
      <c r="B26" s="836">
        <f t="shared" ca="1" si="2"/>
        <v>2.4468631529087439</v>
      </c>
      <c r="C26" s="483">
        <f t="shared" ca="1" si="3"/>
        <v>0</v>
      </c>
      <c r="D26" s="483">
        <f t="shared" si="4"/>
        <v>9.3021553979132996</v>
      </c>
      <c r="E26" s="483">
        <f t="shared" si="5"/>
        <v>77.419893568070293</v>
      </c>
      <c r="F26" s="483">
        <f t="shared" si="6"/>
        <v>0</v>
      </c>
      <c r="G26" s="483">
        <f t="shared" si="7"/>
        <v>35147.739951827694</v>
      </c>
      <c r="H26" s="483">
        <f t="shared" si="8"/>
        <v>4464.7023846568154</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39701.611248603396</v>
      </c>
    </row>
    <row r="27" spans="1:17">
      <c r="A27" s="478" t="s">
        <v>561</v>
      </c>
      <c r="B27" s="479">
        <f t="shared" ca="1" si="2"/>
        <v>0</v>
      </c>
      <c r="C27" s="479">
        <f t="shared" ca="1" si="3"/>
        <v>0</v>
      </c>
      <c r="D27" s="479">
        <f t="shared" si="4"/>
        <v>0</v>
      </c>
      <c r="E27" s="479">
        <f t="shared" si="5"/>
        <v>0</v>
      </c>
      <c r="F27" s="479">
        <f t="shared" si="6"/>
        <v>0</v>
      </c>
      <c r="G27" s="479">
        <f t="shared" si="7"/>
        <v>365.25683915403494</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365.25683915403494</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7467.6292068718067</v>
      </c>
      <c r="C31" s="489">
        <f t="shared" ca="1" si="18"/>
        <v>412.80125170998633</v>
      </c>
      <c r="D31" s="489">
        <f t="shared" ca="1" si="18"/>
        <v>18984.630075925605</v>
      </c>
      <c r="E31" s="489">
        <f t="shared" si="18"/>
        <v>423.45305752970853</v>
      </c>
      <c r="F31" s="489">
        <f t="shared" ca="1" si="18"/>
        <v>2369.0533865977168</v>
      </c>
      <c r="G31" s="489">
        <f t="shared" si="18"/>
        <v>35512.996790981728</v>
      </c>
      <c r="H31" s="489">
        <f t="shared" si="18"/>
        <v>4464.7023846568154</v>
      </c>
      <c r="I31" s="489">
        <f t="shared" si="18"/>
        <v>0</v>
      </c>
      <c r="J31" s="489">
        <f t="shared" si="18"/>
        <v>577.80818719301885</v>
      </c>
      <c r="K31" s="489">
        <f t="shared" si="18"/>
        <v>0</v>
      </c>
      <c r="L31" s="489">
        <f t="shared" ca="1" si="18"/>
        <v>0</v>
      </c>
      <c r="M31" s="489">
        <f t="shared" si="18"/>
        <v>0</v>
      </c>
      <c r="N31" s="489">
        <f t="shared" ca="1" si="18"/>
        <v>0</v>
      </c>
      <c r="O31" s="489">
        <f t="shared" si="18"/>
        <v>0</v>
      </c>
      <c r="P31" s="490">
        <f t="shared" si="18"/>
        <v>0</v>
      </c>
      <c r="Q31" s="490">
        <f t="shared" ca="1" si="18"/>
        <v>70213.074341466374</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0.13730845179126366</v>
      </c>
      <c r="C17" s="529">
        <f ca="1">'EF ele_warmte'!B22</f>
        <v>0.11553351573187415</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0.13730845179126366</v>
      </c>
      <c r="C17" s="529">
        <f ca="1">'EF ele_warmte'!B22</f>
        <v>0.11553351573187415</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0.13730845179126366</v>
      </c>
      <c r="C29" s="530">
        <f ca="1">'EF ele_warmte'!B22</f>
        <v>0.11553351573187415</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46013</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6651</v>
      </c>
      <c r="C9" s="342">
        <v>6925</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1670</v>
      </c>
    </row>
    <row r="15" spans="1:6">
      <c r="A15" s="348" t="s">
        <v>184</v>
      </c>
      <c r="B15" s="334">
        <v>28</v>
      </c>
    </row>
    <row r="16" spans="1:6">
      <c r="A16" s="348" t="s">
        <v>6</v>
      </c>
      <c r="B16" s="334">
        <v>1119</v>
      </c>
    </row>
    <row r="17" spans="1:6">
      <c r="A17" s="348" t="s">
        <v>7</v>
      </c>
      <c r="B17" s="334">
        <v>450</v>
      </c>
    </row>
    <row r="18" spans="1:6">
      <c r="A18" s="348" t="s">
        <v>8</v>
      </c>
      <c r="B18" s="334">
        <v>908</v>
      </c>
    </row>
    <row r="19" spans="1:6">
      <c r="A19" s="348" t="s">
        <v>9</v>
      </c>
      <c r="B19" s="334">
        <v>816</v>
      </c>
    </row>
    <row r="20" spans="1:6">
      <c r="A20" s="348" t="s">
        <v>10</v>
      </c>
      <c r="B20" s="334">
        <v>561</v>
      </c>
    </row>
    <row r="21" spans="1:6">
      <c r="A21" s="348" t="s">
        <v>11</v>
      </c>
      <c r="B21" s="334">
        <v>6384</v>
      </c>
    </row>
    <row r="22" spans="1:6">
      <c r="A22" s="348" t="s">
        <v>12</v>
      </c>
      <c r="B22" s="334">
        <v>22825</v>
      </c>
    </row>
    <row r="23" spans="1:6">
      <c r="A23" s="348" t="s">
        <v>13</v>
      </c>
      <c r="B23" s="334">
        <v>583</v>
      </c>
    </row>
    <row r="24" spans="1:6">
      <c r="A24" s="348" t="s">
        <v>14</v>
      </c>
      <c r="B24" s="334">
        <v>35</v>
      </c>
    </row>
    <row r="25" spans="1:6">
      <c r="A25" s="348" t="s">
        <v>15</v>
      </c>
      <c r="B25" s="334">
        <v>1553</v>
      </c>
    </row>
    <row r="26" spans="1:6">
      <c r="A26" s="348" t="s">
        <v>16</v>
      </c>
      <c r="B26" s="334">
        <v>43</v>
      </c>
    </row>
    <row r="27" spans="1:6">
      <c r="A27" s="348" t="s">
        <v>17</v>
      </c>
      <c r="B27" s="334">
        <v>0</v>
      </c>
    </row>
    <row r="28" spans="1:6" s="356" customFormat="1">
      <c r="A28" s="355" t="s">
        <v>18</v>
      </c>
      <c r="B28" s="355">
        <v>1833</v>
      </c>
    </row>
    <row r="29" spans="1:6">
      <c r="A29" s="355" t="s">
        <v>828</v>
      </c>
      <c r="B29" s="355">
        <v>60</v>
      </c>
      <c r="C29" s="356"/>
      <c r="D29" s="356"/>
      <c r="E29" s="356"/>
      <c r="F29" s="356"/>
    </row>
    <row r="30" spans="1:6">
      <c r="A30" s="341" t="s">
        <v>829</v>
      </c>
      <c r="B30" s="341">
        <v>6</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4</v>
      </c>
      <c r="F38" s="334">
        <v>9827.7479999999996</v>
      </c>
    </row>
    <row r="39" spans="1:6">
      <c r="A39" s="348" t="s">
        <v>30</v>
      </c>
      <c r="B39" s="348" t="s">
        <v>31</v>
      </c>
      <c r="C39" s="334">
        <v>5311</v>
      </c>
      <c r="D39" s="334">
        <v>77085012.781100005</v>
      </c>
      <c r="E39" s="334">
        <v>6622</v>
      </c>
      <c r="F39" s="334">
        <v>27765559</v>
      </c>
    </row>
    <row r="40" spans="1:6">
      <c r="A40" s="348" t="s">
        <v>30</v>
      </c>
      <c r="B40" s="348" t="s">
        <v>29</v>
      </c>
      <c r="C40" s="334">
        <v>0</v>
      </c>
      <c r="D40" s="334">
        <v>0</v>
      </c>
      <c r="E40" s="334">
        <v>0</v>
      </c>
      <c r="F40" s="334">
        <v>0</v>
      </c>
    </row>
    <row r="41" spans="1:6">
      <c r="A41" s="348" t="s">
        <v>32</v>
      </c>
      <c r="B41" s="348" t="s">
        <v>33</v>
      </c>
      <c r="C41" s="334">
        <v>48</v>
      </c>
      <c r="D41" s="334">
        <v>1181294.02590515</v>
      </c>
      <c r="E41" s="334">
        <v>104</v>
      </c>
      <c r="F41" s="334">
        <v>1181417</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11</v>
      </c>
      <c r="F44" s="334">
        <v>199185.4</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40</v>
      </c>
      <c r="D48" s="334">
        <v>8912362.4332024492</v>
      </c>
      <c r="E48" s="334">
        <v>43</v>
      </c>
      <c r="F48" s="334">
        <v>6425925</v>
      </c>
    </row>
    <row r="49" spans="1:6">
      <c r="A49" s="348" t="s">
        <v>32</v>
      </c>
      <c r="B49" s="348" t="s">
        <v>40</v>
      </c>
      <c r="C49" s="334">
        <v>0</v>
      </c>
      <c r="D49" s="334">
        <v>0</v>
      </c>
      <c r="E49" s="334">
        <v>0</v>
      </c>
      <c r="F49" s="334">
        <v>0</v>
      </c>
    </row>
    <row r="50" spans="1:6">
      <c r="A50" s="348" t="s">
        <v>32</v>
      </c>
      <c r="B50" s="348" t="s">
        <v>41</v>
      </c>
      <c r="C50" s="334">
        <v>7</v>
      </c>
      <c r="D50" s="334">
        <v>501504.08592314098</v>
      </c>
      <c r="E50" s="334">
        <v>8</v>
      </c>
      <c r="F50" s="334">
        <v>499622.3</v>
      </c>
    </row>
    <row r="51" spans="1:6">
      <c r="A51" s="348" t="s">
        <v>42</v>
      </c>
      <c r="B51" s="348" t="s">
        <v>43</v>
      </c>
      <c r="C51" s="334">
        <v>16</v>
      </c>
      <c r="D51" s="334">
        <v>249456.51234146001</v>
      </c>
      <c r="E51" s="334">
        <v>84</v>
      </c>
      <c r="F51" s="334">
        <v>1932644</v>
      </c>
    </row>
    <row r="52" spans="1:6">
      <c r="A52" s="348" t="s">
        <v>42</v>
      </c>
      <c r="B52" s="348" t="s">
        <v>29</v>
      </c>
      <c r="C52" s="334">
        <v>3</v>
      </c>
      <c r="D52" s="334">
        <v>52956.126070452003</v>
      </c>
      <c r="E52" s="334">
        <v>5</v>
      </c>
      <c r="F52" s="334">
        <v>108748.8</v>
      </c>
    </row>
    <row r="53" spans="1:6">
      <c r="A53" s="348" t="s">
        <v>44</v>
      </c>
      <c r="B53" s="348" t="s">
        <v>45</v>
      </c>
      <c r="C53" s="334">
        <v>121</v>
      </c>
      <c r="D53" s="334">
        <v>2429302.15419462</v>
      </c>
      <c r="E53" s="334">
        <v>289</v>
      </c>
      <c r="F53" s="334">
        <v>2392270</v>
      </c>
    </row>
    <row r="54" spans="1:6">
      <c r="A54" s="348" t="s">
        <v>46</v>
      </c>
      <c r="B54" s="348" t="s">
        <v>47</v>
      </c>
      <c r="C54" s="334">
        <v>0</v>
      </c>
      <c r="D54" s="334">
        <v>0</v>
      </c>
      <c r="E54" s="334">
        <v>1</v>
      </c>
      <c r="F54" s="334">
        <v>1161544</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33</v>
      </c>
      <c r="D57" s="334">
        <v>807648.231482576</v>
      </c>
      <c r="E57" s="334">
        <v>61</v>
      </c>
      <c r="F57" s="334">
        <v>1109627</v>
      </c>
    </row>
    <row r="58" spans="1:6">
      <c r="A58" s="348" t="s">
        <v>49</v>
      </c>
      <c r="B58" s="348" t="s">
        <v>51</v>
      </c>
      <c r="C58" s="334">
        <v>9</v>
      </c>
      <c r="D58" s="334">
        <v>180346.85312214799</v>
      </c>
      <c r="E58" s="334">
        <v>16</v>
      </c>
      <c r="F58" s="334">
        <v>190806.6</v>
      </c>
    </row>
    <row r="59" spans="1:6">
      <c r="A59" s="348" t="s">
        <v>49</v>
      </c>
      <c r="B59" s="348" t="s">
        <v>52</v>
      </c>
      <c r="C59" s="334">
        <v>62</v>
      </c>
      <c r="D59" s="334">
        <v>2302188.8504900699</v>
      </c>
      <c r="E59" s="334">
        <v>139</v>
      </c>
      <c r="F59" s="334">
        <v>5027660</v>
      </c>
    </row>
    <row r="60" spans="1:6">
      <c r="A60" s="348" t="s">
        <v>49</v>
      </c>
      <c r="B60" s="348" t="s">
        <v>53</v>
      </c>
      <c r="C60" s="334">
        <v>44</v>
      </c>
      <c r="D60" s="334">
        <v>1937226.7385069299</v>
      </c>
      <c r="E60" s="334">
        <v>53</v>
      </c>
      <c r="F60" s="334">
        <v>1284753</v>
      </c>
    </row>
    <row r="61" spans="1:6">
      <c r="A61" s="348" t="s">
        <v>49</v>
      </c>
      <c r="B61" s="348" t="s">
        <v>54</v>
      </c>
      <c r="C61" s="334">
        <v>128</v>
      </c>
      <c r="D61" s="334">
        <v>6247192.6270729201</v>
      </c>
      <c r="E61" s="334">
        <v>208</v>
      </c>
      <c r="F61" s="334">
        <v>2125593</v>
      </c>
    </row>
    <row r="62" spans="1:6">
      <c r="A62" s="348" t="s">
        <v>49</v>
      </c>
      <c r="B62" s="348" t="s">
        <v>55</v>
      </c>
      <c r="C62" s="334">
        <v>0</v>
      </c>
      <c r="D62" s="334">
        <v>0</v>
      </c>
      <c r="E62" s="334">
        <v>10</v>
      </c>
      <c r="F62" s="334">
        <v>182127.7</v>
      </c>
    </row>
    <row r="63" spans="1:6">
      <c r="A63" s="348" t="s">
        <v>49</v>
      </c>
      <c r="B63" s="348" t="s">
        <v>29</v>
      </c>
      <c r="C63" s="334">
        <v>97</v>
      </c>
      <c r="D63" s="334">
        <v>4252385.4467803296</v>
      </c>
      <c r="E63" s="334">
        <v>103</v>
      </c>
      <c r="F63" s="334">
        <v>1968419</v>
      </c>
    </row>
    <row r="64" spans="1:6">
      <c r="A64" s="348" t="s">
        <v>56</v>
      </c>
      <c r="B64" s="348" t="s">
        <v>57</v>
      </c>
      <c r="C64" s="334">
        <v>0</v>
      </c>
      <c r="D64" s="334">
        <v>0</v>
      </c>
      <c r="E64" s="334">
        <v>0</v>
      </c>
      <c r="F64" s="334">
        <v>0</v>
      </c>
    </row>
    <row r="65" spans="1:6">
      <c r="A65" s="348" t="s">
        <v>56</v>
      </c>
      <c r="B65" s="348" t="s">
        <v>29</v>
      </c>
      <c r="C65" s="334">
        <v>5</v>
      </c>
      <c r="D65" s="334">
        <v>126751.65345118599</v>
      </c>
      <c r="E65" s="334">
        <v>2</v>
      </c>
      <c r="F65" s="334">
        <v>8414.9549999999999</v>
      </c>
    </row>
    <row r="66" spans="1:6">
      <c r="A66" s="348" t="s">
        <v>56</v>
      </c>
      <c r="B66" s="348" t="s">
        <v>58</v>
      </c>
      <c r="C66" s="334">
        <v>0</v>
      </c>
      <c r="D66" s="334">
        <v>0</v>
      </c>
      <c r="E66" s="334">
        <v>8</v>
      </c>
      <c r="F66" s="334">
        <v>306529.3</v>
      </c>
    </row>
    <row r="67" spans="1:6">
      <c r="A67" s="355" t="s">
        <v>56</v>
      </c>
      <c r="B67" s="355" t="s">
        <v>59</v>
      </c>
      <c r="C67" s="334">
        <v>0</v>
      </c>
      <c r="D67" s="334">
        <v>0</v>
      </c>
      <c r="E67" s="334">
        <v>0</v>
      </c>
      <c r="F67" s="334">
        <v>0</v>
      </c>
    </row>
    <row r="68" spans="1:6">
      <c r="A68" s="341" t="s">
        <v>56</v>
      </c>
      <c r="B68" s="341" t="s">
        <v>60</v>
      </c>
      <c r="C68" s="334">
        <v>0</v>
      </c>
      <c r="D68" s="334">
        <v>0</v>
      </c>
      <c r="E68" s="334">
        <v>7</v>
      </c>
      <c r="F68" s="334">
        <v>346741.5</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30767868</v>
      </c>
      <c r="E73" s="477">
        <v>27935499.542987224</v>
      </c>
    </row>
    <row r="74" spans="1:6">
      <c r="A74" s="348" t="s">
        <v>64</v>
      </c>
      <c r="B74" s="348" t="s">
        <v>714</v>
      </c>
      <c r="C74" s="1229" t="s">
        <v>716</v>
      </c>
      <c r="D74" s="477">
        <v>3222382.9509143643</v>
      </c>
      <c r="E74" s="477">
        <v>3147654.7360984501</v>
      </c>
    </row>
    <row r="75" spans="1:6">
      <c r="A75" s="348" t="s">
        <v>65</v>
      </c>
      <c r="B75" s="348" t="s">
        <v>713</v>
      </c>
      <c r="C75" s="1229" t="s">
        <v>717</v>
      </c>
      <c r="D75" s="477">
        <v>14470947</v>
      </c>
      <c r="E75" s="477">
        <v>16400935.886866452</v>
      </c>
    </row>
    <row r="76" spans="1:6">
      <c r="A76" s="348" t="s">
        <v>65</v>
      </c>
      <c r="B76" s="348" t="s">
        <v>714</v>
      </c>
      <c r="C76" s="1229" t="s">
        <v>718</v>
      </c>
      <c r="D76" s="477">
        <v>1240059.9509143641</v>
      </c>
      <c r="E76" s="477">
        <v>1389364.7018404072</v>
      </c>
    </row>
    <row r="77" spans="1:6">
      <c r="A77" s="348" t="s">
        <v>66</v>
      </c>
      <c r="B77" s="348" t="s">
        <v>713</v>
      </c>
      <c r="C77" s="1229" t="s">
        <v>719</v>
      </c>
      <c r="D77" s="477">
        <v>84784793</v>
      </c>
      <c r="E77" s="477">
        <v>87713931.956496045</v>
      </c>
    </row>
    <row r="78" spans="1:6">
      <c r="A78" s="341" t="s">
        <v>66</v>
      </c>
      <c r="B78" s="341" t="s">
        <v>714</v>
      </c>
      <c r="C78" s="341" t="s">
        <v>720</v>
      </c>
      <c r="D78" s="1225">
        <v>21715231</v>
      </c>
      <c r="E78" s="1225">
        <v>22392271.446752328</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386410.09817127185</v>
      </c>
      <c r="C83" s="477">
        <v>392057.77863058838</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14541.107212136543</v>
      </c>
    </row>
    <row r="91" spans="1:6">
      <c r="A91" s="348" t="s">
        <v>68</v>
      </c>
      <c r="B91" s="334">
        <v>3204.3422491682763</v>
      </c>
    </row>
    <row r="92" spans="1:6">
      <c r="A92" s="341" t="s">
        <v>69</v>
      </c>
      <c r="B92" s="342">
        <v>1415.6322988948427</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3655</v>
      </c>
    </row>
    <row r="98" spans="1:6">
      <c r="A98" s="348" t="s">
        <v>72</v>
      </c>
      <c r="B98" s="334">
        <v>0</v>
      </c>
    </row>
    <row r="99" spans="1:6">
      <c r="A99" s="348" t="s">
        <v>73</v>
      </c>
      <c r="B99" s="334">
        <v>30</v>
      </c>
    </row>
    <row r="100" spans="1:6">
      <c r="A100" s="348" t="s">
        <v>74</v>
      </c>
      <c r="B100" s="334">
        <v>641</v>
      </c>
    </row>
    <row r="101" spans="1:6">
      <c r="A101" s="348" t="s">
        <v>75</v>
      </c>
      <c r="B101" s="334">
        <v>139</v>
      </c>
    </row>
    <row r="102" spans="1:6">
      <c r="A102" s="348" t="s">
        <v>76</v>
      </c>
      <c r="B102" s="334">
        <v>145</v>
      </c>
    </row>
    <row r="103" spans="1:6">
      <c r="A103" s="348" t="s">
        <v>77</v>
      </c>
      <c r="B103" s="334">
        <v>202</v>
      </c>
    </row>
    <row r="104" spans="1:6">
      <c r="A104" s="348" t="s">
        <v>78</v>
      </c>
      <c r="B104" s="334">
        <v>883</v>
      </c>
    </row>
    <row r="105" spans="1:6">
      <c r="A105" s="341" t="s">
        <v>79</v>
      </c>
      <c r="B105" s="341">
        <v>1</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14</v>
      </c>
      <c r="C123" s="334">
        <v>55</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124</v>
      </c>
    </row>
    <row r="130" spans="1:6">
      <c r="A130" s="348" t="s">
        <v>295</v>
      </c>
      <c r="B130" s="334">
        <v>2</v>
      </c>
    </row>
    <row r="131" spans="1:6">
      <c r="A131" s="348" t="s">
        <v>296</v>
      </c>
      <c r="B131" s="334">
        <v>0</v>
      </c>
    </row>
    <row r="132" spans="1:6">
      <c r="A132" s="341" t="s">
        <v>297</v>
      </c>
      <c r="B132" s="342">
        <v>9</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54385.794242470212</v>
      </c>
      <c r="C3" s="43" t="s">
        <v>170</v>
      </c>
      <c r="D3" s="43"/>
      <c r="E3" s="154"/>
      <c r="F3" s="43"/>
      <c r="G3" s="43"/>
      <c r="H3" s="43"/>
      <c r="I3" s="43"/>
      <c r="J3" s="43"/>
      <c r="K3" s="96"/>
    </row>
    <row r="4" spans="1:11">
      <c r="A4" s="384" t="s">
        <v>171</v>
      </c>
      <c r="B4" s="49">
        <f>IF(ISERROR('SEAP template'!B69),0,'SEAP template'!B69)</f>
        <v>22167.08176019966</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347.29374829001381</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0.13730845179126366</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412.80125170998633</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3573</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0.11553351573187415</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1161.5440000000001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1161.5440000000001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0.13730845179126366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159.48980832743158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27765.559000000001</v>
      </c>
      <c r="C5" s="17">
        <f>IF(ISERROR('Eigen informatie GS &amp; warmtenet'!B57),0,'Eigen informatie GS &amp; warmtenet'!B57)</f>
        <v>0</v>
      </c>
      <c r="D5" s="30">
        <f>(SUM(HH_hh_gas_kWh,HH_rest_gas_kWh)/1000)*0.902</f>
        <v>69530.681528552203</v>
      </c>
      <c r="E5" s="17">
        <f>B46*B57</f>
        <v>707.67357344484049</v>
      </c>
      <c r="F5" s="17">
        <f>B51*B62</f>
        <v>0</v>
      </c>
      <c r="G5" s="18"/>
      <c r="H5" s="17"/>
      <c r="I5" s="17"/>
      <c r="J5" s="17">
        <f>B50*B61+C50*C61</f>
        <v>1280.3417445845917</v>
      </c>
      <c r="K5" s="17"/>
      <c r="L5" s="17"/>
      <c r="M5" s="17"/>
      <c r="N5" s="17">
        <f>B48*B59+C48*C59</f>
        <v>12434.396455948383</v>
      </c>
      <c r="O5" s="17">
        <f>B69*B70*B71</f>
        <v>281.40000000000003</v>
      </c>
      <c r="P5" s="17">
        <f>B77*B78*B79/1000-B77*B78*B79/1000/B80</f>
        <v>438.5333333333333</v>
      </c>
    </row>
    <row r="6" spans="1:16">
      <c r="A6" s="16" t="s">
        <v>631</v>
      </c>
      <c r="B6" s="844">
        <f>kWh_PV_kleiner_dan_10kW</f>
        <v>3204.3422491682763</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30969.901249168277</v>
      </c>
      <c r="C8" s="21">
        <f>C5</f>
        <v>0</v>
      </c>
      <c r="D8" s="21">
        <f>D5</f>
        <v>69530.681528552203</v>
      </c>
      <c r="E8" s="21">
        <f>E5</f>
        <v>707.67357344484049</v>
      </c>
      <c r="F8" s="21">
        <f>F5</f>
        <v>0</v>
      </c>
      <c r="G8" s="21"/>
      <c r="H8" s="21"/>
      <c r="I8" s="21"/>
      <c r="J8" s="21">
        <f>J5</f>
        <v>1280.3417445845917</v>
      </c>
      <c r="K8" s="21"/>
      <c r="L8" s="21">
        <f>L5</f>
        <v>0</v>
      </c>
      <c r="M8" s="21">
        <f>M5</f>
        <v>0</v>
      </c>
      <c r="N8" s="21">
        <f>N5</f>
        <v>12434.396455948383</v>
      </c>
      <c r="O8" s="21">
        <f>O5</f>
        <v>281.40000000000003</v>
      </c>
      <c r="P8" s="21">
        <f>P5</f>
        <v>438.5333333333333</v>
      </c>
    </row>
    <row r="9" spans="1:16">
      <c r="B9" s="19"/>
      <c r="C9" s="19"/>
      <c r="D9" s="258"/>
      <c r="E9" s="19"/>
      <c r="F9" s="19"/>
      <c r="G9" s="19"/>
      <c r="H9" s="19"/>
      <c r="I9" s="19"/>
      <c r="J9" s="19"/>
      <c r="K9" s="19"/>
      <c r="L9" s="19"/>
      <c r="M9" s="19"/>
      <c r="N9" s="19"/>
      <c r="O9" s="19"/>
      <c r="P9" s="19"/>
    </row>
    <row r="10" spans="1:16">
      <c r="A10" s="24" t="s">
        <v>214</v>
      </c>
      <c r="B10" s="25">
        <f ca="1">'EF ele_warmte'!B12</f>
        <v>0.13730845179126366</v>
      </c>
      <c r="C10" s="25">
        <f ca="1">'EF ele_warmte'!B22</f>
        <v>0.11553351573187415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4252.4291926516189</v>
      </c>
      <c r="C12" s="23">
        <f ca="1">C10*C8</f>
        <v>0</v>
      </c>
      <c r="D12" s="23">
        <f>D8*D10</f>
        <v>14045.197668767545</v>
      </c>
      <c r="E12" s="23">
        <f>E10*E8</f>
        <v>160.64190117197879</v>
      </c>
      <c r="F12" s="23">
        <f>F10*F8</f>
        <v>0</v>
      </c>
      <c r="G12" s="23"/>
      <c r="H12" s="23"/>
      <c r="I12" s="23"/>
      <c r="J12" s="23">
        <f>J10*J8</f>
        <v>453.24097758294545</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3655</v>
      </c>
      <c r="C18" s="166" t="s">
        <v>111</v>
      </c>
      <c r="D18" s="228"/>
      <c r="E18" s="15"/>
    </row>
    <row r="19" spans="1:7">
      <c r="A19" s="171" t="s">
        <v>72</v>
      </c>
      <c r="B19" s="37">
        <f>aantalw2001_ander</f>
        <v>0</v>
      </c>
      <c r="C19" s="166" t="s">
        <v>111</v>
      </c>
      <c r="D19" s="229"/>
      <c r="E19" s="15"/>
    </row>
    <row r="20" spans="1:7">
      <c r="A20" s="171" t="s">
        <v>73</v>
      </c>
      <c r="B20" s="37">
        <f>aantalw2001_propaan</f>
        <v>30</v>
      </c>
      <c r="C20" s="167">
        <f>IF(ISERROR(B20/SUM($B$20,$B$21,$B$22)*100),0,B20/SUM($B$20,$B$21,$B$22)*100)</f>
        <v>3.7037037037037033</v>
      </c>
      <c r="D20" s="229"/>
      <c r="E20" s="15"/>
    </row>
    <row r="21" spans="1:7">
      <c r="A21" s="171" t="s">
        <v>74</v>
      </c>
      <c r="B21" s="37">
        <f>aantalw2001_elektriciteit</f>
        <v>641</v>
      </c>
      <c r="C21" s="167">
        <f>IF(ISERROR(B21/SUM($B$20,$B$21,$B$22)*100),0,B21/SUM($B$20,$B$21,$B$22)*100)</f>
        <v>79.135802469135811</v>
      </c>
      <c r="D21" s="229"/>
      <c r="E21" s="15"/>
    </row>
    <row r="22" spans="1:7">
      <c r="A22" s="171" t="s">
        <v>75</v>
      </c>
      <c r="B22" s="37">
        <f>aantalw2001_hout</f>
        <v>139</v>
      </c>
      <c r="C22" s="167">
        <f>IF(ISERROR(B22/SUM($B$20,$B$21,$B$22)*100),0,B22/SUM($B$20,$B$21,$B$22)*100)</f>
        <v>17.160493827160494</v>
      </c>
      <c r="D22" s="229"/>
      <c r="E22" s="15"/>
    </row>
    <row r="23" spans="1:7">
      <c r="A23" s="171" t="s">
        <v>76</v>
      </c>
      <c r="B23" s="37">
        <f>aantalw2001_niet_gespec</f>
        <v>145</v>
      </c>
      <c r="C23" s="166" t="s">
        <v>111</v>
      </c>
      <c r="D23" s="228"/>
      <c r="E23" s="15"/>
    </row>
    <row r="24" spans="1:7">
      <c r="A24" s="171" t="s">
        <v>77</v>
      </c>
      <c r="B24" s="37">
        <f>aantalw2001_steenkool</f>
        <v>202</v>
      </c>
      <c r="C24" s="166" t="s">
        <v>111</v>
      </c>
      <c r="D24" s="229"/>
      <c r="E24" s="15"/>
    </row>
    <row r="25" spans="1:7">
      <c r="A25" s="171" t="s">
        <v>78</v>
      </c>
      <c r="B25" s="37">
        <f>aantalw2001_stookolie</f>
        <v>883</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740</v>
      </c>
      <c r="B28" s="37">
        <f>aantalHuishoudens2011</f>
        <v>6651</v>
      </c>
      <c r="C28" s="36"/>
      <c r="D28" s="228"/>
    </row>
    <row r="29" spans="1:7" s="15" customFormat="1">
      <c r="A29" s="230" t="s">
        <v>741</v>
      </c>
      <c r="B29" s="37">
        <f>SUM(HH_hh_gas_aantal,HH_rest_gas_aantal)</f>
        <v>5311</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5311</v>
      </c>
      <c r="C32" s="167">
        <f>IF(ISERROR(B32/SUM($B$32,$B$34,$B$35,$B$36,$B$38,$B$39)*100),0,B32/SUM($B$32,$B$34,$B$35,$B$36,$B$38,$B$39)*100)</f>
        <v>80.129752564876284</v>
      </c>
      <c r="D32" s="233"/>
      <c r="G32" s="15"/>
    </row>
    <row r="33" spans="1:7">
      <c r="A33" s="171" t="s">
        <v>72</v>
      </c>
      <c r="B33" s="34" t="s">
        <v>111</v>
      </c>
      <c r="C33" s="167"/>
      <c r="D33" s="233"/>
      <c r="G33" s="15"/>
    </row>
    <row r="34" spans="1:7">
      <c r="A34" s="171" t="s">
        <v>73</v>
      </c>
      <c r="B34" s="33">
        <f>IF((($B$28-$B$32-$B$39-$B$77-$B$38)*C20/100)&lt;0,0,($B$28-$B$32-$B$39-$B$77-$B$38)*C20/100)</f>
        <v>47.429629629629616</v>
      </c>
      <c r="C34" s="167">
        <f>IF(ISERROR(B34/SUM($B$32,$B$34,$B$35,$B$36,$B$38,$B$39)*100),0,B34/SUM($B$32,$B$34,$B$35,$B$36,$B$38,$B$39)*100)</f>
        <v>0.71559489483448424</v>
      </c>
      <c r="D34" s="233"/>
      <c r="G34" s="15"/>
    </row>
    <row r="35" spans="1:7">
      <c r="A35" s="171" t="s">
        <v>74</v>
      </c>
      <c r="B35" s="33">
        <f>IF((($B$28-$B$32-$B$39-$B$77-$B$38)*C21/100)&lt;0,0,($B$28-$B$32-$B$39-$B$77-$B$38)*C21/100)</f>
        <v>1013.4130864197531</v>
      </c>
      <c r="C35" s="167">
        <f>IF(ISERROR(B35/SUM($B$32,$B$34,$B$35,$B$36,$B$38,$B$39)*100),0,B35/SUM($B$32,$B$34,$B$35,$B$36,$B$38,$B$39)*100)</f>
        <v>15.289877586296818</v>
      </c>
      <c r="D35" s="233"/>
      <c r="G35" s="15"/>
    </row>
    <row r="36" spans="1:7">
      <c r="A36" s="171" t="s">
        <v>75</v>
      </c>
      <c r="B36" s="33">
        <f>IF((($B$28-$B$32-$B$39-$B$77-$B$38)*C22/100)&lt;0,0,($B$28-$B$32-$B$39-$B$77-$B$38)*C22/100)</f>
        <v>219.75728395061728</v>
      </c>
      <c r="C36" s="167">
        <f>IF(ISERROR(B36/SUM($B$32,$B$34,$B$35,$B$36,$B$38,$B$39)*100),0,B36/SUM($B$32,$B$34,$B$35,$B$36,$B$38,$B$39)*100)</f>
        <v>3.3155896793997783</v>
      </c>
      <c r="D36" s="233"/>
      <c r="G36" s="15"/>
    </row>
    <row r="37" spans="1:7">
      <c r="A37" s="171" t="s">
        <v>76</v>
      </c>
      <c r="B37" s="34" t="s">
        <v>111</v>
      </c>
      <c r="C37" s="167"/>
      <c r="D37" s="173"/>
      <c r="G37" s="15"/>
    </row>
    <row r="38" spans="1:7">
      <c r="A38" s="171" t="s">
        <v>77</v>
      </c>
      <c r="B38" s="33">
        <f>IF((B24-(B29-B18)*0.1)&lt;0,0,B24-(B29-B18)*0.1)</f>
        <v>36.399999999999977</v>
      </c>
      <c r="C38" s="167">
        <f>IF(ISERROR(B38/SUM($B$32,$B$34,$B$35,$B$36,$B$38,$B$39)*100),0,B38/SUM($B$32,$B$34,$B$35,$B$36,$B$38,$B$39)*100)</f>
        <v>0.549185274592637</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5311</v>
      </c>
      <c r="C44" s="34" t="s">
        <v>111</v>
      </c>
      <c r="D44" s="174"/>
    </row>
    <row r="45" spans="1:7">
      <c r="A45" s="171" t="s">
        <v>72</v>
      </c>
      <c r="B45" s="33" t="str">
        <f t="shared" si="0"/>
        <v>-</v>
      </c>
      <c r="C45" s="34" t="s">
        <v>111</v>
      </c>
      <c r="D45" s="174"/>
    </row>
    <row r="46" spans="1:7">
      <c r="A46" s="171" t="s">
        <v>73</v>
      </c>
      <c r="B46" s="33">
        <f t="shared" si="0"/>
        <v>47.429629629629616</v>
      </c>
      <c r="C46" s="34" t="s">
        <v>111</v>
      </c>
      <c r="D46" s="174"/>
    </row>
    <row r="47" spans="1:7">
      <c r="A47" s="171" t="s">
        <v>74</v>
      </c>
      <c r="B47" s="33">
        <f t="shared" si="0"/>
        <v>1013.4130864197531</v>
      </c>
      <c r="C47" s="34" t="s">
        <v>111</v>
      </c>
      <c r="D47" s="174"/>
    </row>
    <row r="48" spans="1:7">
      <c r="A48" s="171" t="s">
        <v>75</v>
      </c>
      <c r="B48" s="33">
        <f t="shared" si="0"/>
        <v>219.75728395061728</v>
      </c>
      <c r="C48" s="33">
        <f>B48*10</f>
        <v>2197.5728395061728</v>
      </c>
      <c r="D48" s="234"/>
    </row>
    <row r="49" spans="1:6">
      <c r="A49" s="171" t="s">
        <v>76</v>
      </c>
      <c r="B49" s="33" t="str">
        <f t="shared" si="0"/>
        <v>-</v>
      </c>
      <c r="C49" s="34" t="s">
        <v>111</v>
      </c>
      <c r="D49" s="234"/>
    </row>
    <row r="50" spans="1:6">
      <c r="A50" s="171" t="s">
        <v>77</v>
      </c>
      <c r="B50" s="33">
        <f t="shared" si="0"/>
        <v>36.399999999999977</v>
      </c>
      <c r="C50" s="33">
        <f>B50*2</f>
        <v>72.799999999999955</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180</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23</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11888.986299999999</v>
      </c>
      <c r="C5" s="17">
        <f>IF(ISERROR('Eigen informatie GS &amp; warmtenet'!B58),0,'Eigen informatie GS &amp; warmtenet'!B58)</f>
        <v>0</v>
      </c>
      <c r="D5" s="30">
        <f>SUM(D6:D12)</f>
        <v>14185.743850204384</v>
      </c>
      <c r="E5" s="17">
        <f>SUM(E6:E12)</f>
        <v>135.96706479906513</v>
      </c>
      <c r="F5" s="17">
        <f>SUM(F6:F12)</f>
        <v>1776.3753570789054</v>
      </c>
      <c r="G5" s="18"/>
      <c r="H5" s="17"/>
      <c r="I5" s="17"/>
      <c r="J5" s="17">
        <f>SUM(J6:J12)</f>
        <v>0</v>
      </c>
      <c r="K5" s="17"/>
      <c r="L5" s="17"/>
      <c r="M5" s="17"/>
      <c r="N5" s="17">
        <f>SUM(N6:N12)</f>
        <v>1013.6210500610476</v>
      </c>
      <c r="O5" s="17">
        <f>B38*B39*B40</f>
        <v>3.1266666666666669</v>
      </c>
      <c r="P5" s="17">
        <f>B46*B47*B48/1000-B46*B47*B48/1000/B49</f>
        <v>0</v>
      </c>
      <c r="R5" s="32"/>
    </row>
    <row r="6" spans="1:18">
      <c r="A6" s="32" t="s">
        <v>54</v>
      </c>
      <c r="B6" s="37">
        <f>B26</f>
        <v>2125.5929999999998</v>
      </c>
      <c r="C6" s="33"/>
      <c r="D6" s="37">
        <f>IF(ISERROR(TER_kantoor_gas_kWh/1000),0,TER_kantoor_gas_kWh/1000)*0.902</f>
        <v>5634.9677496197737</v>
      </c>
      <c r="E6" s="33">
        <f>$C$26*'E Balans VL '!I12/100/3.6*1000000</f>
        <v>6.1581547897137741</v>
      </c>
      <c r="F6" s="33">
        <f>$C$26*('E Balans VL '!L12+'E Balans VL '!N12)/100/3.6*1000000</f>
        <v>240.57029715533579</v>
      </c>
      <c r="G6" s="34"/>
      <c r="H6" s="33"/>
      <c r="I6" s="33"/>
      <c r="J6" s="33">
        <f>$C$26*('E Balans VL '!D12+'E Balans VL '!E12)/100/3.6*1000000</f>
        <v>0</v>
      </c>
      <c r="K6" s="33"/>
      <c r="L6" s="33"/>
      <c r="M6" s="33"/>
      <c r="N6" s="33">
        <f>$C$26*'E Balans VL '!Y12/100/3.6*1000000</f>
        <v>21.275619723148392</v>
      </c>
      <c r="O6" s="33"/>
      <c r="P6" s="33"/>
      <c r="R6" s="32"/>
    </row>
    <row r="7" spans="1:18">
      <c r="A7" s="32" t="s">
        <v>53</v>
      </c>
      <c r="B7" s="37">
        <f t="shared" ref="B7:B12" si="0">B27</f>
        <v>1284.7529999999999</v>
      </c>
      <c r="C7" s="33"/>
      <c r="D7" s="37">
        <f>IF(ISERROR(TER_horeca_gas_kWh/1000),0,TER_horeca_gas_kWh/1000)*0.902</f>
        <v>1747.3785181332507</v>
      </c>
      <c r="E7" s="33">
        <f>$C$27*'E Balans VL '!I9/100/3.6*1000000</f>
        <v>53.930341411060837</v>
      </c>
      <c r="F7" s="33">
        <f>$C$27*('E Balans VL '!L9+'E Balans VL '!N9)/100/3.6*1000000</f>
        <v>276.05552839164102</v>
      </c>
      <c r="G7" s="34"/>
      <c r="H7" s="33"/>
      <c r="I7" s="33"/>
      <c r="J7" s="33">
        <f>$C$27*('E Balans VL '!D9+'E Balans VL '!E9)/100/3.6*1000000</f>
        <v>0</v>
      </c>
      <c r="K7" s="33"/>
      <c r="L7" s="33"/>
      <c r="M7" s="33"/>
      <c r="N7" s="33">
        <f>$C$27*'E Balans VL '!Y9/100/3.6*1000000</f>
        <v>0.33106961252741862</v>
      </c>
      <c r="O7" s="33"/>
      <c r="P7" s="33"/>
      <c r="R7" s="32"/>
    </row>
    <row r="8" spans="1:18">
      <c r="A8" s="6" t="s">
        <v>52</v>
      </c>
      <c r="B8" s="37">
        <f t="shared" si="0"/>
        <v>5027.66</v>
      </c>
      <c r="C8" s="33"/>
      <c r="D8" s="37">
        <f>IF(ISERROR(TER_handel_gas_kWh/1000),0,TER_handel_gas_kWh/1000)*0.902</f>
        <v>2076.5743431420433</v>
      </c>
      <c r="E8" s="33">
        <f>$C$28*'E Balans VL '!I13/100/3.6*1000000</f>
        <v>54.001252802469708</v>
      </c>
      <c r="F8" s="33">
        <f>$C$28*('E Balans VL '!L13+'E Balans VL '!N13)/100/3.6*1000000</f>
        <v>650.87210456040418</v>
      </c>
      <c r="G8" s="34"/>
      <c r="H8" s="33"/>
      <c r="I8" s="33"/>
      <c r="J8" s="33">
        <f>$C$28*('E Balans VL '!D13+'E Balans VL '!E13)/100/3.6*1000000</f>
        <v>0</v>
      </c>
      <c r="K8" s="33"/>
      <c r="L8" s="33"/>
      <c r="M8" s="33"/>
      <c r="N8" s="33">
        <f>$C$28*'E Balans VL '!Y13/100/3.6*1000000</f>
        <v>40.784652442172096</v>
      </c>
      <c r="O8" s="33"/>
      <c r="P8" s="33"/>
      <c r="R8" s="32"/>
    </row>
    <row r="9" spans="1:18">
      <c r="A9" s="32" t="s">
        <v>51</v>
      </c>
      <c r="B9" s="37">
        <f t="shared" si="0"/>
        <v>190.8066</v>
      </c>
      <c r="C9" s="33"/>
      <c r="D9" s="37">
        <f>IF(ISERROR(TER_gezond_gas_kWh/1000),0,TER_gezond_gas_kWh/1000)*0.902</f>
        <v>162.67286151617751</v>
      </c>
      <c r="E9" s="33">
        <f>$C$29*'E Balans VL '!I10/100/3.6*1000000</f>
        <v>0.15189439464026175</v>
      </c>
      <c r="F9" s="33">
        <f>$C$29*('E Balans VL '!L10+'E Balans VL '!N10)/100/3.6*1000000</f>
        <v>23.195299633730471</v>
      </c>
      <c r="G9" s="34"/>
      <c r="H9" s="33"/>
      <c r="I9" s="33"/>
      <c r="J9" s="33">
        <f>$C$29*('E Balans VL '!D10+'E Balans VL '!E10)/100/3.6*1000000</f>
        <v>0</v>
      </c>
      <c r="K9" s="33"/>
      <c r="L9" s="33"/>
      <c r="M9" s="33"/>
      <c r="N9" s="33">
        <f>$C$29*'E Balans VL '!Y10/100/3.6*1000000</f>
        <v>1.5412851639127108</v>
      </c>
      <c r="O9" s="33"/>
      <c r="P9" s="33"/>
      <c r="R9" s="32"/>
    </row>
    <row r="10" spans="1:18">
      <c r="A10" s="32" t="s">
        <v>50</v>
      </c>
      <c r="B10" s="37">
        <f t="shared" si="0"/>
        <v>1109.627</v>
      </c>
      <c r="C10" s="33"/>
      <c r="D10" s="37">
        <f>IF(ISERROR(TER_ander_gas_kWh/1000),0,TER_ander_gas_kWh/1000)*0.902</f>
        <v>728.49870479728349</v>
      </c>
      <c r="E10" s="33">
        <f>$C$30*'E Balans VL '!I14/100/3.6*1000000</f>
        <v>3.802750021330322</v>
      </c>
      <c r="F10" s="33">
        <f>$C$30*('E Balans VL '!L14+'E Balans VL '!N14)/100/3.6*1000000</f>
        <v>247.84558187015597</v>
      </c>
      <c r="G10" s="34"/>
      <c r="H10" s="33"/>
      <c r="I10" s="33"/>
      <c r="J10" s="33">
        <f>$C$30*('E Balans VL '!D14+'E Balans VL '!E14)/100/3.6*1000000</f>
        <v>0</v>
      </c>
      <c r="K10" s="33"/>
      <c r="L10" s="33"/>
      <c r="M10" s="33"/>
      <c r="N10" s="33">
        <f>$C$30*'E Balans VL '!Y14/100/3.6*1000000</f>
        <v>781.62732057380981</v>
      </c>
      <c r="O10" s="33"/>
      <c r="P10" s="33"/>
      <c r="R10" s="32"/>
    </row>
    <row r="11" spans="1:18">
      <c r="A11" s="32" t="s">
        <v>55</v>
      </c>
      <c r="B11" s="37">
        <f t="shared" si="0"/>
        <v>182.1277</v>
      </c>
      <c r="C11" s="33"/>
      <c r="D11" s="37">
        <f>IF(ISERROR(TER_onderwijs_gas_kWh/1000),0,TER_onderwijs_gas_kWh/1000)*0.902</f>
        <v>0</v>
      </c>
      <c r="E11" s="33">
        <f>$C$31*'E Balans VL '!I11/100/3.6*1000000</f>
        <v>0.12589926991828251</v>
      </c>
      <c r="F11" s="33">
        <f>$C$31*('E Balans VL '!L11+'E Balans VL '!N11)/100/3.6*1000000</f>
        <v>47.675741409280704</v>
      </c>
      <c r="G11" s="34"/>
      <c r="H11" s="33"/>
      <c r="I11" s="33"/>
      <c r="J11" s="33">
        <f>$C$31*('E Balans VL '!D11+'E Balans VL '!E11)/100/3.6*1000000</f>
        <v>0</v>
      </c>
      <c r="K11" s="33"/>
      <c r="L11" s="33"/>
      <c r="M11" s="33"/>
      <c r="N11" s="33">
        <f>$C$31*'E Balans VL '!Y11/100/3.6*1000000</f>
        <v>0.18129261292261148</v>
      </c>
      <c r="O11" s="33"/>
      <c r="P11" s="33"/>
      <c r="R11" s="32"/>
    </row>
    <row r="12" spans="1:18">
      <c r="A12" s="32" t="s">
        <v>260</v>
      </c>
      <c r="B12" s="37">
        <f t="shared" si="0"/>
        <v>1968.4190000000001</v>
      </c>
      <c r="C12" s="33"/>
      <c r="D12" s="37">
        <f>IF(ISERROR(TER_rest_gas_kWh/1000),0,TER_rest_gas_kWh/1000)*0.902</f>
        <v>3835.6516729958571</v>
      </c>
      <c r="E12" s="33">
        <f>$C$32*'E Balans VL '!I8/100/3.6*1000000</f>
        <v>17.79677210993194</v>
      </c>
      <c r="F12" s="33">
        <f>$C$32*('E Balans VL '!L8+'E Balans VL '!N8)/100/3.6*1000000</f>
        <v>290.16080405835748</v>
      </c>
      <c r="G12" s="34"/>
      <c r="H12" s="33"/>
      <c r="I12" s="33"/>
      <c r="J12" s="33">
        <f>$C$32*('E Balans VL '!D8+'E Balans VL '!E8)/100/3.6*1000000</f>
        <v>0</v>
      </c>
      <c r="K12" s="33"/>
      <c r="L12" s="33"/>
      <c r="M12" s="33"/>
      <c r="N12" s="33">
        <f>$C$32*'E Balans VL '!Y8/100/3.6*1000000</f>
        <v>167.87980993255465</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11888.986299999999</v>
      </c>
      <c r="C16" s="21">
        <f t="shared" ca="1" si="1"/>
        <v>0</v>
      </c>
      <c r="D16" s="21">
        <f t="shared" ca="1" si="1"/>
        <v>14185.743850204384</v>
      </c>
      <c r="E16" s="21">
        <f t="shared" si="1"/>
        <v>135.96706479906513</v>
      </c>
      <c r="F16" s="21">
        <f t="shared" ca="1" si="1"/>
        <v>1776.3753570789054</v>
      </c>
      <c r="G16" s="21">
        <f t="shared" si="1"/>
        <v>0</v>
      </c>
      <c r="H16" s="21">
        <f t="shared" si="1"/>
        <v>0</v>
      </c>
      <c r="I16" s="21">
        <f t="shared" si="1"/>
        <v>0</v>
      </c>
      <c r="J16" s="21">
        <f t="shared" si="1"/>
        <v>0</v>
      </c>
      <c r="K16" s="21">
        <f t="shared" si="1"/>
        <v>0</v>
      </c>
      <c r="L16" s="21">
        <f t="shared" ca="1" si="1"/>
        <v>0</v>
      </c>
      <c r="M16" s="21">
        <f t="shared" si="1"/>
        <v>0</v>
      </c>
      <c r="N16" s="21">
        <f t="shared" ca="1" si="1"/>
        <v>1013.6210500610476</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0.13730845179126366</v>
      </c>
      <c r="C18" s="25">
        <f ca="1">'EF ele_warmte'!B22</f>
        <v>0.11553351573187415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1632.4583022205441</v>
      </c>
      <c r="C20" s="23">
        <f t="shared" ref="C20:P20" ca="1" si="2">C16*C18</f>
        <v>0</v>
      </c>
      <c r="D20" s="23">
        <f t="shared" ca="1" si="2"/>
        <v>2865.5202577412856</v>
      </c>
      <c r="E20" s="23">
        <f t="shared" si="2"/>
        <v>30.864523709387786</v>
      </c>
      <c r="F20" s="23">
        <f t="shared" ca="1" si="2"/>
        <v>474.29222034006779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2125.5929999999998</v>
      </c>
      <c r="C26" s="39">
        <f>IF(ISERROR(B26*3.6/1000000/'E Balans VL '!Z12*100),0,B26*3.6/1000000/'E Balans VL '!Z12*100)</f>
        <v>4.669110767658842E-2</v>
      </c>
      <c r="D26" s="237" t="s">
        <v>692</v>
      </c>
      <c r="F26" s="6"/>
    </row>
    <row r="27" spans="1:18">
      <c r="A27" s="231" t="s">
        <v>53</v>
      </c>
      <c r="B27" s="33">
        <f>IF(ISERROR(TER_horeca_ele_kWh/1000),0,TER_horeca_ele_kWh/1000)</f>
        <v>1284.7529999999999</v>
      </c>
      <c r="C27" s="39">
        <f>IF(ISERROR(B27*3.6/1000000/'E Balans VL '!Z9*100),0,B27*3.6/1000000/'E Balans VL '!Z9*100)</f>
        <v>0.10324271011916339</v>
      </c>
      <c r="D27" s="237" t="s">
        <v>692</v>
      </c>
      <c r="F27" s="6"/>
    </row>
    <row r="28" spans="1:18">
      <c r="A28" s="171" t="s">
        <v>52</v>
      </c>
      <c r="B28" s="33">
        <f>IF(ISERROR(TER_handel_ele_kWh/1000),0,TER_handel_ele_kWh/1000)</f>
        <v>5027.66</v>
      </c>
      <c r="C28" s="39">
        <f>IF(ISERROR(B28*3.6/1000000/'E Balans VL '!Z13*100),0,B28*3.6/1000000/'E Balans VL '!Z13*100)</f>
        <v>0.14866439380297572</v>
      </c>
      <c r="D28" s="237" t="s">
        <v>692</v>
      </c>
      <c r="F28" s="6"/>
    </row>
    <row r="29" spans="1:18">
      <c r="A29" s="231" t="s">
        <v>51</v>
      </c>
      <c r="B29" s="33">
        <f>IF(ISERROR(TER_gezond_ele_kWh/1000),0,TER_gezond_ele_kWh/1000)</f>
        <v>190.8066</v>
      </c>
      <c r="C29" s="39">
        <f>IF(ISERROR(B29*3.6/1000000/'E Balans VL '!Z10*100),0,B29*3.6/1000000/'E Balans VL '!Z10*100)</f>
        <v>2.1498977627832937E-2</v>
      </c>
      <c r="D29" s="237" t="s">
        <v>692</v>
      </c>
      <c r="F29" s="6"/>
    </row>
    <row r="30" spans="1:18">
      <c r="A30" s="231" t="s">
        <v>50</v>
      </c>
      <c r="B30" s="33">
        <f>IF(ISERROR(TER_ander_ele_kWh/1000),0,TER_ander_ele_kWh/1000)</f>
        <v>1109.627</v>
      </c>
      <c r="C30" s="39">
        <f>IF(ISERROR(B30*3.6/1000000/'E Balans VL '!Z14*100),0,B30*3.6/1000000/'E Balans VL '!Z14*100)</f>
        <v>8.3919193188323055E-2</v>
      </c>
      <c r="D30" s="237" t="s">
        <v>692</v>
      </c>
      <c r="F30" s="6"/>
    </row>
    <row r="31" spans="1:18">
      <c r="A31" s="231" t="s">
        <v>55</v>
      </c>
      <c r="B31" s="33">
        <f>IF(ISERROR(TER_onderwijs_ele_kWh/1000),0,TER_onderwijs_ele_kWh/1000)</f>
        <v>182.1277</v>
      </c>
      <c r="C31" s="39">
        <f>IF(ISERROR(B31*3.6/1000000/'E Balans VL '!Z11*100),0,B31*3.6/1000000/'E Balans VL '!Z11*100)</f>
        <v>3.7805482606950602E-2</v>
      </c>
      <c r="D31" s="237" t="s">
        <v>692</v>
      </c>
    </row>
    <row r="32" spans="1:18">
      <c r="A32" s="231" t="s">
        <v>260</v>
      </c>
      <c r="B32" s="33">
        <f>IF(ISERROR(TER_rest_ele_kWh/1000),0,TER_rest_ele_kWh/1000)</f>
        <v>1968.4190000000001</v>
      </c>
      <c r="C32" s="39">
        <f>IF(ISERROR(B32*3.6/1000000/'E Balans VL '!Z8*100),0,B32*3.6/1000000/'E Balans VL '!Z8*100)</f>
        <v>1.6582772093316937E-2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0</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8306.1496999999999</v>
      </c>
      <c r="C5" s="17">
        <f>IF(ISERROR('Eigen informatie GS &amp; warmtenet'!B59),0,'Eigen informatie GS &amp; warmtenet'!B59)</f>
        <v>0</v>
      </c>
      <c r="D5" s="30">
        <f>SUM(D6:D15)</f>
        <v>9556.8348116177294</v>
      </c>
      <c r="E5" s="17">
        <f>SUM(E6:E15)</f>
        <v>661.82629826576817</v>
      </c>
      <c r="F5" s="17">
        <f>SUM(F6:F15)</f>
        <v>3402.0813502259207</v>
      </c>
      <c r="G5" s="18"/>
      <c r="H5" s="17"/>
      <c r="I5" s="17"/>
      <c r="J5" s="17">
        <f>SUM(J6:J15)</f>
        <v>38.916474659672502</v>
      </c>
      <c r="K5" s="17"/>
      <c r="L5" s="17"/>
      <c r="M5" s="17"/>
      <c r="N5" s="17">
        <f>SUM(N6:N15)</f>
        <v>1858.146145899362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199.18539999999999</v>
      </c>
      <c r="C8" s="33"/>
      <c r="D8" s="37">
        <f>IF( ISERROR(IND_metaal_Gas_kWH/1000),0,IND_metaal_Gas_kWH/1000)*0.902</f>
        <v>0</v>
      </c>
      <c r="E8" s="33">
        <f>C30*'E Balans VL '!I18/100/3.6*1000000</f>
        <v>4.9849134280351208</v>
      </c>
      <c r="F8" s="33">
        <f>C30*'E Balans VL '!L18/100/3.6*1000000+C30*'E Balans VL '!N18/100/3.6*1000000</f>
        <v>62.425695159134378</v>
      </c>
      <c r="G8" s="34"/>
      <c r="H8" s="33"/>
      <c r="I8" s="33"/>
      <c r="J8" s="40">
        <f>C30*'E Balans VL '!D18/100/3.6*1000000+C30*'E Balans VL '!E18/100/3.6*1000000</f>
        <v>0</v>
      </c>
      <c r="K8" s="33"/>
      <c r="L8" s="33"/>
      <c r="M8" s="33"/>
      <c r="N8" s="33">
        <f>C30*'E Balans VL '!Y18/100/3.6*1000000</f>
        <v>5.0040541791897475</v>
      </c>
      <c r="O8" s="33"/>
      <c r="P8" s="33"/>
      <c r="R8" s="32"/>
    </row>
    <row r="9" spans="1:18">
      <c r="A9" s="6" t="s">
        <v>33</v>
      </c>
      <c r="B9" s="37">
        <f t="shared" si="0"/>
        <v>1181.4169999999999</v>
      </c>
      <c r="C9" s="33"/>
      <c r="D9" s="37">
        <f>IF( ISERROR(IND_andere_gas_kWh/1000),0,IND_andere_gas_kWh/1000)*0.902</f>
        <v>1065.5272113664453</v>
      </c>
      <c r="E9" s="33">
        <f>C31*'E Balans VL '!I19/100/3.6*1000000</f>
        <v>324.84121911606513</v>
      </c>
      <c r="F9" s="33">
        <f>C31*'E Balans VL '!L19/100/3.6*1000000+C31*'E Balans VL '!N19/100/3.6*1000000</f>
        <v>931.16217731831932</v>
      </c>
      <c r="G9" s="34"/>
      <c r="H9" s="33"/>
      <c r="I9" s="33"/>
      <c r="J9" s="40">
        <f>C31*'E Balans VL '!D19/100/3.6*1000000+C31*'E Balans VL '!E19/100/3.6*1000000</f>
        <v>0</v>
      </c>
      <c r="K9" s="33"/>
      <c r="L9" s="33"/>
      <c r="M9" s="33"/>
      <c r="N9" s="33">
        <f>C31*'E Balans VL '!Y19/100/3.6*1000000</f>
        <v>382.45586709046421</v>
      </c>
      <c r="O9" s="33"/>
      <c r="P9" s="33"/>
      <c r="R9" s="32"/>
    </row>
    <row r="10" spans="1:18">
      <c r="A10" s="6" t="s">
        <v>41</v>
      </c>
      <c r="B10" s="37">
        <f t="shared" si="0"/>
        <v>499.6223</v>
      </c>
      <c r="C10" s="33"/>
      <c r="D10" s="37">
        <f>IF( ISERROR(IND_voed_gas_kWh/1000),0,IND_voed_gas_kWh/1000)*0.902</f>
        <v>452.35668550267314</v>
      </c>
      <c r="E10" s="33">
        <f>C32*'E Balans VL '!I20/100/3.6*1000000</f>
        <v>5.0933741050043828</v>
      </c>
      <c r="F10" s="33">
        <f>C32*'E Balans VL '!L20/100/3.6*1000000+C32*'E Balans VL '!N20/100/3.6*1000000</f>
        <v>943.78339986415676</v>
      </c>
      <c r="G10" s="34"/>
      <c r="H10" s="33"/>
      <c r="I10" s="33"/>
      <c r="J10" s="40">
        <f>C32*'E Balans VL '!D20/100/3.6*1000000+C32*'E Balans VL '!E20/100/3.6*1000000</f>
        <v>11.957596410566861</v>
      </c>
      <c r="K10" s="33"/>
      <c r="L10" s="33"/>
      <c r="M10" s="33"/>
      <c r="N10" s="33">
        <f>C32*'E Balans VL '!Y20/100/3.6*1000000</f>
        <v>263.35850153204336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6425.9250000000002</v>
      </c>
      <c r="C15" s="33"/>
      <c r="D15" s="37">
        <f>IF( ISERROR(IND_rest_gas_kWh/1000),0,IND_rest_gas_kWh/1000)*0.902</f>
        <v>8038.9509147486106</v>
      </c>
      <c r="E15" s="33">
        <f>C37*'E Balans VL '!I15/100/3.6*1000000</f>
        <v>326.90679161666355</v>
      </c>
      <c r="F15" s="33">
        <f>C37*'E Balans VL '!L15/100/3.6*1000000+C37*'E Balans VL '!N15/100/3.6*1000000</f>
        <v>1464.7100778843101</v>
      </c>
      <c r="G15" s="34"/>
      <c r="H15" s="33"/>
      <c r="I15" s="33"/>
      <c r="J15" s="40">
        <f>C37*'E Balans VL '!D15/100/3.6*1000000+C37*'E Balans VL '!E15/100/3.6*1000000</f>
        <v>26.958878249105638</v>
      </c>
      <c r="K15" s="33"/>
      <c r="L15" s="33"/>
      <c r="M15" s="33"/>
      <c r="N15" s="33">
        <f>C37*'E Balans VL '!Y15/100/3.6*1000000</f>
        <v>1207.3277230976646</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8306.1496999999999</v>
      </c>
      <c r="C18" s="21">
        <f>C5+C16</f>
        <v>0</v>
      </c>
      <c r="D18" s="21">
        <f>MAX((D5+D16),0)</f>
        <v>9556.8348116177294</v>
      </c>
      <c r="E18" s="21">
        <f>MAX((E5+E16),0)</f>
        <v>661.82629826576817</v>
      </c>
      <c r="F18" s="21">
        <f>MAX((F5+F16),0)</f>
        <v>3402.0813502259207</v>
      </c>
      <c r="G18" s="21"/>
      <c r="H18" s="21"/>
      <c r="I18" s="21"/>
      <c r="J18" s="21">
        <f>MAX((J5+J16),0)</f>
        <v>38.916474659672502</v>
      </c>
      <c r="K18" s="21"/>
      <c r="L18" s="21">
        <f>MAX((L5+L16),0)</f>
        <v>0</v>
      </c>
      <c r="M18" s="21"/>
      <c r="N18" s="21">
        <f>MAX((N5+N16),0)</f>
        <v>1858.146145899362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0.13730845179126366</v>
      </c>
      <c r="C20" s="25">
        <f ca="1">'EF ele_warmte'!B22</f>
        <v>0.11553351573187415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1140.5045556534692</v>
      </c>
      <c r="C22" s="23">
        <f ca="1">C18*C20</f>
        <v>0</v>
      </c>
      <c r="D22" s="23">
        <f>D18*D20</f>
        <v>1930.4806319467814</v>
      </c>
      <c r="E22" s="23">
        <f>E18*E20</f>
        <v>150.23456970632938</v>
      </c>
      <c r="F22" s="23">
        <f>F18*F20</f>
        <v>908.35572051032091</v>
      </c>
      <c r="G22" s="23"/>
      <c r="H22" s="23"/>
      <c r="I22" s="23"/>
      <c r="J22" s="23">
        <f>J18*J20</f>
        <v>13.776432029524065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199.18539999999999</v>
      </c>
      <c r="C30" s="39">
        <f>IF(ISERROR(B30*3.6/1000000/'E Balans VL '!Z18*100),0,B30*3.6/1000000/'E Balans VL '!Z18*100)</f>
        <v>2.7879318073213793E-2</v>
      </c>
      <c r="D30" s="237" t="s">
        <v>692</v>
      </c>
    </row>
    <row r="31" spans="1:18">
      <c r="A31" s="6" t="s">
        <v>33</v>
      </c>
      <c r="B31" s="37">
        <f>IF( ISERROR(IND_ander_ele_kWh/1000),0,IND_ander_ele_kWh/1000)</f>
        <v>1181.4169999999999</v>
      </c>
      <c r="C31" s="39">
        <f>IF(ISERROR(B31*3.6/1000000/'E Balans VL '!Z19*100),0,B31*3.6/1000000/'E Balans VL '!Z19*100)</f>
        <v>5.1710430436933616E-2</v>
      </c>
      <c r="D31" s="237" t="s">
        <v>692</v>
      </c>
    </row>
    <row r="32" spans="1:18">
      <c r="A32" s="171" t="s">
        <v>41</v>
      </c>
      <c r="B32" s="37">
        <f>IF( ISERROR(IND_voed_ele_kWh/1000),0,IND_voed_ele_kWh/1000)</f>
        <v>499.6223</v>
      </c>
      <c r="C32" s="39">
        <f>IF(ISERROR(B32*3.6/1000000/'E Balans VL '!Z20*100),0,B32*3.6/1000000/'E Balans VL '!Z20*100)</f>
        <v>0.12368988984180751</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6425.9250000000002</v>
      </c>
      <c r="C37" s="39">
        <f>IF(ISERROR(B37*3.6/1000000/'E Balans VL '!Z15*100),0,B37*3.6/1000000/'E Balans VL '!Z15*100)</f>
        <v>4.764713371008493E-2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2041.3928000000001</v>
      </c>
      <c r="C5" s="17">
        <f>'Eigen informatie GS &amp; warmtenet'!B60</f>
        <v>0</v>
      </c>
      <c r="D5" s="30">
        <f>IF(ISERROR(SUM(LB_lb_gas_kWh,LB_rest_gas_kWh,onbekend_gas_kWh)/1000),0,SUM(LB_lb_gas_kWh,LB_rest_gas_kWh,onbekend_gas_kWh)/1000)*0.902</f>
        <v>2464.006742931092</v>
      </c>
      <c r="E5" s="17">
        <f>B17*'E Balans VL '!I25/3.6*1000000/100</f>
        <v>18.908235127499157</v>
      </c>
      <c r="F5" s="17">
        <f>B17*('E Balans VL '!L25/3.6*1000000+'E Balans VL '!N25/3.6*1000000)/100</f>
        <v>5179.4024185293183</v>
      </c>
      <c r="G5" s="18"/>
      <c r="H5" s="17"/>
      <c r="I5" s="17"/>
      <c r="J5" s="17">
        <f>('E Balans VL '!D25+'E Balans VL '!E25)/3.6*1000000*landbouw!B17/100</f>
        <v>312.96829825013941</v>
      </c>
      <c r="K5" s="17"/>
      <c r="L5" s="17">
        <f>L6*(-1)</f>
        <v>4455</v>
      </c>
      <c r="M5" s="17"/>
      <c r="N5" s="17">
        <f>N6*(-1)</f>
        <v>0</v>
      </c>
      <c r="O5" s="17"/>
      <c r="P5" s="17"/>
      <c r="R5" s="32"/>
    </row>
    <row r="6" spans="1:18">
      <c r="A6" s="16" t="s">
        <v>494</v>
      </c>
      <c r="B6" s="17" t="s">
        <v>211</v>
      </c>
      <c r="C6" s="17">
        <f>'lokale energieproductie'!O91+'lokale energieproductie'!O60</f>
        <v>3573</v>
      </c>
      <c r="D6" s="310">
        <f>('lokale energieproductie'!P60+'lokale energieproductie'!P91)*(-1)</f>
        <v>-1800.0000000000005</v>
      </c>
      <c r="E6" s="248"/>
      <c r="F6" s="310">
        <f>('lokale energieproductie'!S60+'lokale energieproductie'!S91)*(-1)</f>
        <v>-1485</v>
      </c>
      <c r="G6" s="249"/>
      <c r="H6" s="248"/>
      <c r="I6" s="248"/>
      <c r="J6" s="248"/>
      <c r="K6" s="248"/>
      <c r="L6" s="310">
        <f>('lokale energieproductie'!T60+'lokale energieproductie'!U60+'lokale energieproductie'!T91+'lokale energieproductie'!U91)*(-1)</f>
        <v>-4455</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2041.3928000000001</v>
      </c>
      <c r="C8" s="21">
        <f>C5+C6</f>
        <v>3573</v>
      </c>
      <c r="D8" s="21">
        <f>MAX((D5+D6),0)</f>
        <v>664.00674293109159</v>
      </c>
      <c r="E8" s="21">
        <f>MAX((E5+E6),0)</f>
        <v>18.908235127499157</v>
      </c>
      <c r="F8" s="21">
        <f>MAX((F5+F6),0)</f>
        <v>3694.4024185293183</v>
      </c>
      <c r="G8" s="21"/>
      <c r="H8" s="21"/>
      <c r="I8" s="21"/>
      <c r="J8" s="21">
        <f>MAX((J5+J6),0)</f>
        <v>312.96829825013941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0.13730845179126366</v>
      </c>
      <c r="C10" s="31">
        <f ca="1">'EF ele_warmte'!B22</f>
        <v>0.11553351573187415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280.30048486583274</v>
      </c>
      <c r="C12" s="23">
        <f ca="1">C8*C10</f>
        <v>412.80125170998633</v>
      </c>
      <c r="D12" s="23">
        <f>D8*D10</f>
        <v>134.12936207208051</v>
      </c>
      <c r="E12" s="23">
        <f>E8*E10</f>
        <v>4.2921693739423086</v>
      </c>
      <c r="F12" s="23">
        <f>F8*F10</f>
        <v>986.40544574732803</v>
      </c>
      <c r="G12" s="23"/>
      <c r="H12" s="23"/>
      <c r="I12" s="23"/>
      <c r="J12" s="23">
        <f>J8*J10</f>
        <v>110.79077758054935</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0.29024277115086639</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345.87348850943863</v>
      </c>
      <c r="C26" s="247">
        <f>B26*'GWP N2O_CH4'!B5</f>
        <v>7263.3432586982108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196.84163641326904</v>
      </c>
      <c r="C27" s="247">
        <f>B27*'GWP N2O_CH4'!B5</f>
        <v>4133.6743646786499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4.5168230195266768</v>
      </c>
      <c r="C28" s="247">
        <f>B28*'GWP N2O_CH4'!B4</f>
        <v>1400.2151360532698</v>
      </c>
      <c r="D28" s="50"/>
    </row>
    <row r="29" spans="1:4">
      <c r="A29" s="41" t="s">
        <v>277</v>
      </c>
      <c r="B29" s="247">
        <f>B34*'ha_N2O bodem landbouw'!B4</f>
        <v>11.055044536474261</v>
      </c>
      <c r="C29" s="247">
        <f>B29*'GWP N2O_CH4'!B4</f>
        <v>3427.063806307021</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2.4794517293804637E-3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6.4152695886939833E-5</v>
      </c>
      <c r="C5" s="464" t="s">
        <v>211</v>
      </c>
      <c r="D5" s="449">
        <f>SUM(D6:D11)</f>
        <v>1.6578098728954393E-4</v>
      </c>
      <c r="E5" s="449">
        <f>SUM(E6:E11)</f>
        <v>1.2278044794936257E-3</v>
      </c>
      <c r="F5" s="462" t="s">
        <v>211</v>
      </c>
      <c r="G5" s="449">
        <f>SUM(G6:G11)</f>
        <v>0.47390211171003632</v>
      </c>
      <c r="H5" s="449">
        <f>SUM(H6:H11)</f>
        <v>6.4549913995038288E-2</v>
      </c>
      <c r="I5" s="464" t="s">
        <v>211</v>
      </c>
      <c r="J5" s="464" t="s">
        <v>211</v>
      </c>
      <c r="K5" s="464" t="s">
        <v>211</v>
      </c>
      <c r="L5" s="464" t="s">
        <v>211</v>
      </c>
      <c r="M5" s="449">
        <f>SUM(M6:M11)</f>
        <v>2.9400125362643994E-2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1.5180640725594292E-5</v>
      </c>
      <c r="C6" s="450"/>
      <c r="D6" s="963">
        <f>vkm_2011_GW_PW*SUMIFS(TableVerdeelsleutelVkm[CNG],TableVerdeelsleutelVkm[Voertuigtype],"Lichte voertuigen")*SUMIFS(TableECFTransport[EnergieConsumptieFactor (PJ per km)],TableECFTransport[Index],CONCATENATE($A6,"_CNG_CNG"))</f>
        <v>3.5114493317609598E-5</v>
      </c>
      <c r="E6" s="963">
        <f>vkm_2011_GW_PW*SUMIFS(TableVerdeelsleutelVkm[LPG],TableVerdeelsleutelVkm[Voertuigtype],"Lichte voertuigen")*SUMIFS(TableECFTransport[EnergieConsumptieFactor (PJ per km)],TableECFTransport[Index],CONCATENATE($A6,"_LPG_LPG"))</f>
        <v>2.286443754357272E-4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4.7499177423969065E-2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1.3389036515987853E-2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3.1597826631350697E-3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3.0061109371151976E-2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1.0280353469756887E-5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1.7392055712217701E-3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7.1398592637655799E-6</v>
      </c>
      <c r="C8" s="450"/>
      <c r="D8" s="452">
        <f>vkm_2011_NGW_PW*SUMIFS(TableVerdeelsleutelVkm[CNG],TableVerdeelsleutelVkm[Voertuigtype],"Lichte voertuigen")*SUMIFS(TableECFTransport[EnergieConsumptieFactor (PJ per km)],TableECFTransport[Index],CONCATENATE($A8,"_CNG_CNG"))</f>
        <v>2.9210704789878832E-5</v>
      </c>
      <c r="E8" s="452">
        <f>vkm_2011_NGW_PW*SUMIFS(TableVerdeelsleutelVkm[LPG],TableVerdeelsleutelVkm[Voertuigtype],"Lichte voertuigen")*SUMIFS(TableECFTransport[EnergieConsumptieFactor (PJ per km)],TableECFTransport[Index],CONCATENATE($A8,"_LPG_LPG"))</f>
        <v>1.7553709129842671E-4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3.4089045254840994E-2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1.0769603948136927E-2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2.3034315567279184E-3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1.4758143331651654E-2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4.7755632691636842E-6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8.5383388789249674E-4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4.1832195897579959E-5</v>
      </c>
      <c r="C10" s="450"/>
      <c r="D10" s="452">
        <f>vkm_2011_SW_PW*SUMIFS(TableVerdeelsleutelVkm[CNG],TableVerdeelsleutelVkm[Voertuigtype],"Lichte voertuigen")*SUMIFS(TableECFTransport[EnergieConsumptieFactor (PJ per km)],TableECFTransport[Index],CONCATENATE($A10,"_CNG_CNG"))</f>
        <v>1.0145578918205552E-4</v>
      </c>
      <c r="E10" s="452">
        <f>vkm_2011_SW_PW*SUMIFS(TableVerdeelsleutelVkm[LPG],TableVerdeelsleutelVkm[Voertuigtype],"Lichte voertuigen")*SUMIFS(TableECFTransport[EnergieConsumptieFactor (PJ per km)],TableECFTransport[Index],CONCATENATE($A10,"_LPG_LPG"))</f>
        <v>8.2362301275947186E-4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0.15404115164934523</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4.0304917960139616E-2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1.0151332750307624E-2</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0.19345348467907736</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7.1299654034978665E-5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1.1192538933359114E-2</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17.820193301927734</v>
      </c>
      <c r="C14" s="21"/>
      <c r="D14" s="21">
        <f t="shared" ref="D14:M14" si="0">((D5)*10^9/3600)+D12</f>
        <v>46.050274247095537</v>
      </c>
      <c r="E14" s="21">
        <f t="shared" si="0"/>
        <v>341.05679985934046</v>
      </c>
      <c r="F14" s="21"/>
      <c r="G14" s="21">
        <f t="shared" si="0"/>
        <v>131639.47547501008</v>
      </c>
      <c r="H14" s="21">
        <f t="shared" si="0"/>
        <v>17930.531665288414</v>
      </c>
      <c r="I14" s="21"/>
      <c r="J14" s="21"/>
      <c r="K14" s="21"/>
      <c r="L14" s="21"/>
      <c r="M14" s="21">
        <f t="shared" si="0"/>
        <v>8166.7014896233313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0.13730845179126366</v>
      </c>
      <c r="C16" s="56">
        <f ca="1">'EF ele_warmte'!B22</f>
        <v>0.11553351573187415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2.4468631529087439</v>
      </c>
      <c r="C18" s="23"/>
      <c r="D18" s="23">
        <f t="shared" ref="D18:M18" si="1">D14*D16</f>
        <v>9.3021553979132996</v>
      </c>
      <c r="E18" s="23">
        <f t="shared" si="1"/>
        <v>77.419893568070293</v>
      </c>
      <c r="F18" s="23"/>
      <c r="G18" s="23">
        <f t="shared" si="1"/>
        <v>35147.739951827694</v>
      </c>
      <c r="H18" s="23">
        <f t="shared" si="1"/>
        <v>4464.7023846568154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4.9248113144364251E-3</v>
      </c>
      <c r="H50" s="321">
        <f t="shared" si="2"/>
        <v>0</v>
      </c>
      <c r="I50" s="321">
        <f t="shared" si="2"/>
        <v>0</v>
      </c>
      <c r="J50" s="321">
        <f t="shared" si="2"/>
        <v>0</v>
      </c>
      <c r="K50" s="321">
        <f t="shared" si="2"/>
        <v>0</v>
      </c>
      <c r="L50" s="321">
        <f t="shared" si="2"/>
        <v>0</v>
      </c>
      <c r="M50" s="321">
        <f t="shared" si="2"/>
        <v>2.8084763266178779E-4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4.9248113144364251E-3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2.8084763266178779E-4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1368.0031428990071</v>
      </c>
      <c r="H54" s="21">
        <f t="shared" si="3"/>
        <v>0</v>
      </c>
      <c r="I54" s="21">
        <f t="shared" si="3"/>
        <v>0</v>
      </c>
      <c r="J54" s="21">
        <f t="shared" si="3"/>
        <v>0</v>
      </c>
      <c r="K54" s="21">
        <f t="shared" si="3"/>
        <v>0</v>
      </c>
      <c r="L54" s="21">
        <f t="shared" si="3"/>
        <v>0</v>
      </c>
      <c r="M54" s="21">
        <f t="shared" si="3"/>
        <v>78.01323129494105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0.13730845179126366</v>
      </c>
      <c r="C56" s="56">
        <f ca="1">'EF ele_warmte'!B22</f>
        <v>0.11553351573187415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365.25683915403494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14541.107212136543</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4619.9745480631191</v>
      </c>
      <c r="C6" s="1216"/>
      <c r="D6" s="1201"/>
      <c r="E6" s="1201"/>
      <c r="F6" s="1219"/>
      <c r="G6" s="1222"/>
      <c r="H6" s="1213"/>
      <c r="I6" s="1201"/>
      <c r="J6" s="1201"/>
      <c r="K6" s="1201"/>
      <c r="L6" s="1205"/>
      <c r="M6" s="576"/>
      <c r="N6" s="1179"/>
      <c r="O6" s="1180"/>
      <c r="Q6" s="574"/>
      <c r="R6" s="1167"/>
      <c r="S6" s="1167"/>
    </row>
    <row r="7" spans="1:19" s="564" customFormat="1">
      <c r="A7" s="577" t="s">
        <v>252</v>
      </c>
      <c r="B7" s="578">
        <f>N57</f>
        <v>3006</v>
      </c>
      <c r="C7" s="579">
        <f>B100</f>
        <v>822.43502051983614</v>
      </c>
      <c r="D7" s="580"/>
      <c r="E7" s="580">
        <f>E100</f>
        <v>678.50889192886461</v>
      </c>
      <c r="F7" s="581"/>
      <c r="G7" s="582"/>
      <c r="H7" s="580">
        <f>I100</f>
        <v>0</v>
      </c>
      <c r="I7" s="580">
        <f>G100+F100</f>
        <v>2035.5266757865938</v>
      </c>
      <c r="J7" s="580">
        <f>H100+D100+C100</f>
        <v>0</v>
      </c>
      <c r="K7" s="580"/>
      <c r="L7" s="583"/>
      <c r="M7" s="584">
        <f>C7*$C$11+D7*$D$11+E7*$E$11+F7*$F$11+G7*$G$11+H7*$H$11+I7*$I$11+J7*$J$11</f>
        <v>347.29374829001381</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22167.08176019966</v>
      </c>
      <c r="C9" s="595">
        <f t="shared" ref="C9:L9" si="0">SUM(C7:C8)</f>
        <v>822.43502051983614</v>
      </c>
      <c r="D9" s="595">
        <f t="shared" si="0"/>
        <v>0</v>
      </c>
      <c r="E9" s="595">
        <f t="shared" si="0"/>
        <v>678.50889192886461</v>
      </c>
      <c r="F9" s="595">
        <f t="shared" si="0"/>
        <v>0</v>
      </c>
      <c r="G9" s="595">
        <f t="shared" si="0"/>
        <v>0</v>
      </c>
      <c r="H9" s="595">
        <f t="shared" si="0"/>
        <v>0</v>
      </c>
      <c r="I9" s="595">
        <f t="shared" si="0"/>
        <v>2035.5266757865938</v>
      </c>
      <c r="J9" s="595">
        <f t="shared" si="0"/>
        <v>0</v>
      </c>
      <c r="K9" s="595">
        <f t="shared" si="0"/>
        <v>0</v>
      </c>
      <c r="L9" s="595">
        <f t="shared" si="0"/>
        <v>0</v>
      </c>
      <c r="M9" s="596">
        <f>SUM(M4:M8)</f>
        <v>347.29374829001381</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3573</v>
      </c>
      <c r="C16" s="611">
        <f>B101</f>
        <v>977.56497948016431</v>
      </c>
      <c r="D16" s="612"/>
      <c r="E16" s="612">
        <f>E101</f>
        <v>806.49110807113539</v>
      </c>
      <c r="F16" s="613"/>
      <c r="G16" s="614"/>
      <c r="H16" s="611">
        <f>I101</f>
        <v>0</v>
      </c>
      <c r="I16" s="612">
        <f>G101+F101</f>
        <v>2419.4733242134062</v>
      </c>
      <c r="J16" s="612">
        <f>H101+D101+C101</f>
        <v>0</v>
      </c>
      <c r="K16" s="612"/>
      <c r="L16" s="615"/>
      <c r="M16" s="616">
        <f>C16*$C$21+E16*$E$21+H16*$H$21+I16*$I$21+J16*$J$21+D16*$D$21+F16*$F$21+G16*$G$21+K16*$K$21+L16*$L$21</f>
        <v>412.80125170998633</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3573</v>
      </c>
      <c r="C19" s="594">
        <f>SUM(C16:C18)</f>
        <v>977.56497948016431</v>
      </c>
      <c r="D19" s="594">
        <f t="shared" ref="D19:M19" si="1">SUM(D16:D18)</f>
        <v>0</v>
      </c>
      <c r="E19" s="594">
        <f t="shared" si="1"/>
        <v>806.49110807113539</v>
      </c>
      <c r="F19" s="594">
        <f t="shared" si="1"/>
        <v>0</v>
      </c>
      <c r="G19" s="594">
        <f t="shared" si="1"/>
        <v>0</v>
      </c>
      <c r="H19" s="594">
        <f t="shared" si="1"/>
        <v>0</v>
      </c>
      <c r="I19" s="594">
        <f t="shared" si="1"/>
        <v>2419.4733242134062</v>
      </c>
      <c r="J19" s="594">
        <f t="shared" si="1"/>
        <v>0</v>
      </c>
      <c r="K19" s="594">
        <f t="shared" si="1"/>
        <v>0</v>
      </c>
      <c r="L19" s="594">
        <f t="shared" si="1"/>
        <v>0</v>
      </c>
      <c r="M19" s="621">
        <f t="shared" si="1"/>
        <v>412.80125170998633</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38.25">
      <c r="A27" s="625"/>
      <c r="B27" s="852">
        <v>46013</v>
      </c>
      <c r="C27" s="852">
        <v>9150</v>
      </c>
      <c r="D27" s="673" t="s">
        <v>834</v>
      </c>
      <c r="E27" s="672" t="s">
        <v>835</v>
      </c>
      <c r="F27" s="672" t="s">
        <v>836</v>
      </c>
      <c r="G27" s="672" t="s">
        <v>837</v>
      </c>
      <c r="H27" s="672" t="s">
        <v>838</v>
      </c>
      <c r="I27" s="672" t="s">
        <v>835</v>
      </c>
      <c r="J27" s="851">
        <v>40142</v>
      </c>
      <c r="K27" s="851">
        <v>40142</v>
      </c>
      <c r="L27" s="672" t="s">
        <v>839</v>
      </c>
      <c r="M27" s="672">
        <v>528</v>
      </c>
      <c r="N27" s="672">
        <v>2376</v>
      </c>
      <c r="O27" s="672">
        <v>2673</v>
      </c>
      <c r="P27" s="672">
        <v>0</v>
      </c>
      <c r="Q27" s="672">
        <v>0</v>
      </c>
      <c r="R27" s="672">
        <v>0</v>
      </c>
      <c r="S27" s="672">
        <v>1485</v>
      </c>
      <c r="T27" s="672">
        <v>4455</v>
      </c>
      <c r="U27" s="672">
        <v>0</v>
      </c>
      <c r="V27" s="672">
        <v>0</v>
      </c>
      <c r="W27" s="672">
        <v>0</v>
      </c>
      <c r="X27" s="672">
        <v>10</v>
      </c>
      <c r="Y27" s="672" t="s">
        <v>112</v>
      </c>
      <c r="Z27" s="674" t="s">
        <v>112</v>
      </c>
    </row>
    <row r="28" spans="1:26" s="626" customFormat="1" ht="25.5">
      <c r="A28" s="625"/>
      <c r="B28" s="852">
        <v>46013</v>
      </c>
      <c r="C28" s="852">
        <v>9150</v>
      </c>
      <c r="D28" s="673" t="s">
        <v>840</v>
      </c>
      <c r="E28" s="672" t="s">
        <v>841</v>
      </c>
      <c r="F28" s="672" t="s">
        <v>842</v>
      </c>
      <c r="G28" s="672" t="s">
        <v>837</v>
      </c>
      <c r="H28" s="672" t="s">
        <v>843</v>
      </c>
      <c r="I28" s="672" t="s">
        <v>841</v>
      </c>
      <c r="J28" s="851">
        <v>40991</v>
      </c>
      <c r="K28" s="851">
        <v>41091</v>
      </c>
      <c r="L28" s="672" t="s">
        <v>844</v>
      </c>
      <c r="M28" s="672">
        <v>140</v>
      </c>
      <c r="N28" s="672">
        <v>630.00000000000011</v>
      </c>
      <c r="O28" s="672">
        <v>900.00000000000023</v>
      </c>
      <c r="P28" s="672">
        <v>1800.0000000000005</v>
      </c>
      <c r="Q28" s="672">
        <v>0</v>
      </c>
      <c r="R28" s="672">
        <v>0</v>
      </c>
      <c r="S28" s="672">
        <v>0</v>
      </c>
      <c r="T28" s="672">
        <v>0</v>
      </c>
      <c r="U28" s="672">
        <v>0</v>
      </c>
      <c r="V28" s="672">
        <v>0</v>
      </c>
      <c r="W28" s="672">
        <v>0</v>
      </c>
      <c r="X28" s="672">
        <v>10</v>
      </c>
      <c r="Y28" s="672" t="s">
        <v>112</v>
      </c>
      <c r="Z28" s="674" t="s">
        <v>112</v>
      </c>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668</v>
      </c>
      <c r="N57" s="630">
        <f>SUM(N27:N56)</f>
        <v>3006</v>
      </c>
      <c r="O57" s="630">
        <f t="shared" ref="O57:W57" si="2">SUM(O27:O56)</f>
        <v>3573</v>
      </c>
      <c r="P57" s="630">
        <f t="shared" si="2"/>
        <v>1800.0000000000005</v>
      </c>
      <c r="Q57" s="630">
        <f t="shared" si="2"/>
        <v>0</v>
      </c>
      <c r="R57" s="630">
        <f t="shared" si="2"/>
        <v>0</v>
      </c>
      <c r="S57" s="630">
        <f t="shared" si="2"/>
        <v>1485</v>
      </c>
      <c r="T57" s="630">
        <f t="shared" si="2"/>
        <v>4455</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668</v>
      </c>
      <c r="N60" s="635">
        <f t="shared" ref="N60:W60" si="4">SUMIF($Z$27:$Z$56,"landbouw",N27:N56)</f>
        <v>3006</v>
      </c>
      <c r="O60" s="635">
        <f t="shared" si="4"/>
        <v>3573</v>
      </c>
      <c r="P60" s="635">
        <f t="shared" si="4"/>
        <v>1800.0000000000005</v>
      </c>
      <c r="Q60" s="635">
        <f t="shared" si="4"/>
        <v>0</v>
      </c>
      <c r="R60" s="635">
        <f t="shared" si="4"/>
        <v>0</v>
      </c>
      <c r="S60" s="635">
        <f t="shared" si="4"/>
        <v>1485</v>
      </c>
      <c r="T60" s="635">
        <f t="shared" si="4"/>
        <v>4455</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0.54309165526675784</v>
      </c>
      <c r="C97" s="655">
        <f>IF(ISERROR(N57/(O57+N57)),0,N57/(N57+O57))</f>
        <v>0.45690834473324216</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822.43502051983614</v>
      </c>
      <c r="C100" s="664">
        <f t="shared" si="9"/>
        <v>0</v>
      </c>
      <c r="D100" s="664">
        <f t="shared" si="9"/>
        <v>0</v>
      </c>
      <c r="E100" s="664">
        <f t="shared" si="9"/>
        <v>678.50889192886461</v>
      </c>
      <c r="F100" s="664">
        <f t="shared" si="9"/>
        <v>2035.5266757865938</v>
      </c>
      <c r="G100" s="664">
        <f t="shared" si="9"/>
        <v>0</v>
      </c>
      <c r="H100" s="664">
        <f t="shared" si="9"/>
        <v>0</v>
      </c>
      <c r="I100" s="665">
        <f t="shared" si="9"/>
        <v>0</v>
      </c>
      <c r="J100" s="622"/>
      <c r="K100" s="622"/>
      <c r="L100" s="660"/>
      <c r="M100" s="647"/>
      <c r="N100" s="647"/>
    </row>
    <row r="101" spans="1:14" ht="15.75" thickBot="1">
      <c r="A101" s="666" t="s">
        <v>286</v>
      </c>
      <c r="B101" s="667">
        <f>$B$97*P57</f>
        <v>977.56497948016431</v>
      </c>
      <c r="C101" s="667">
        <f t="shared" ref="C101:H101" si="10">$B$97*Q57</f>
        <v>0</v>
      </c>
      <c r="D101" s="667">
        <f t="shared" si="10"/>
        <v>0</v>
      </c>
      <c r="E101" s="667">
        <f t="shared" si="10"/>
        <v>806.49110807113539</v>
      </c>
      <c r="F101" s="667">
        <f t="shared" si="10"/>
        <v>2419.4733242134062</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2018-06-27T09:38:09Z</dcterms:modified>
</cp:coreProperties>
</file>