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<sst xmlns="http://schemas.openxmlformats.org/spreadsheetml/2006/main" count="1986" uniqueCount="851">
  <si>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</si>
  <si>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</si>
  <si>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</si>
  <si>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</si>
  <si>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</si>
  <si>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</si>
  <si>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</si>
  <si>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</si>
  <si>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</si>
  <si>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</si>
  <si>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</si>
  <si>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</si>
  <si>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</si>
  <si>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</si>
  <si>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</si>
  <si>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</si>
  <si>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</si>
  <si>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</si>
  <si>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</si>
  <si>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</si>
  <si>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</si>
  <si>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</si>
  <si>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</si>
  <si>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</si>
  <si>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</si>
  <si>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</si>
  <si>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</si>
  <si>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</si>
  <si>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</si>
  <si>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</si>
  <si>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</si>
  <si>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</si>
  <si>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</si>
  <si>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</si>
  <si>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</si>
  <si>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</si>
  <si>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</si>
  <si>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</si>
  <si>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</si>
  <si>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</si>
  <si>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</si>
  <si>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</si>
  <si>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</si>
  <si>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</si>
  <si>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</si>
  <si>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</si>
  <si>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</si>
  <si>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</si>
  <si>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</si>
  <si>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</si>
  <si>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</si>
  <si>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</si>
  <si>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</si>
  <si>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</si>
  <si>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</si>
  <si>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</si>
  <si>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</si>
  <si>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</si>
  <si>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</si>
  <si>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</si>
  <si>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</si>
  <si>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</si>
  <si>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</si>
  <si>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</si>
  <si>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</si>
  <si>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</si>
  <si>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</si>
  <si>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</si>
  <si>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</si>
  <si>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</si>
  <si>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</si>
  <si>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</si>
  <si>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</si>
  <si>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</si>
  <si>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</si>
  <si>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</si>
  <si>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</si>
  <si>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</si>
  <si>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</si>
  <si>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</si>
  <si>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</si>
  <si>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</si>
  <si>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</si>
  <si>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</si>
  <si>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</si>
  <si>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</si>
  <si>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</si>
  <si>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</si>
  <si>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</si>
  <si>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</si>
  <si>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</si>
  <si>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</si>
  <si>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</si>
  <si>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</si>
  <si>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</si>
  <si>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</si>
  <si>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</si>
  <si>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</si>
  <si>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</si>
  <si>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</si>
  <si>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</si>
  <si>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</si>
  <si>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</si>
  <si>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</si>
  <si>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</si>
  <si>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</si>
  <si>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</si>
  <si>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</si>
  <si>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</si>
  <si>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</si>
  <si>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</si>
  <si>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</si>
  <si>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</si>
  <si>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</si>
  <si>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</si>
  <si>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</si>
  <si>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</si>
  <si>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</si>
  <si>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</si>
  <si>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</si>
  <si>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</si>
  <si>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</si>
  <si>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</si>
  <si>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</si>
  <si>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</si>
  <si>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</si>
  <si>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</si>
  <si>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</si>
  <si>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</si>
  <si>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</si>
  <si>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</si>
  <si>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</si>
  <si>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</si>
  <si>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</si>
  <si>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</si>
  <si>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</si>
  <si>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</si>
  <si>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</si>
  <si>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</si>
  <si>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</si>
  <si>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</si>
  <si>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</si>
  <si>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</si>
  <si>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</si>
  <si>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</si>
  <si>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</si>
  <si>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</si>
  <si>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</si>
  <si>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</si>
  <si>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</si>
  <si>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</si>
  <si>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</si>
  <si>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</si>
  <si>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</si>
  <si>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</si>
  <si>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</si>
  <si>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</si>
  <si>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</si>
  <si>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</si>
  <si>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</si>
  <si>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</si>
  <si>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</si>
  <si>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</si>
  <si>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</si>
  <si>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</si>
  <si>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</si>
  <si>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</si>
  <si>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</si>
  <si>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</si>
  <si>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</si>
  <si>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</si>
  <si>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</si>
  <si>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</si>
  <si>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</si>
  <si>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</si>
  <si>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</si>
  <si>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</si>
  <si>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</si>
  <si>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</si>
  <si>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</si>
  <si>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</si>
  <si>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</si>
  <si>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</si>
  <si>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</si>
  <si>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</si>
  <si>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</si>
  <si>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</si>
  <si>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</si>
  <si>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</si>
  <si>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</si>
  <si>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</si>
  <si>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</si>
  <si>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</si>
  <si>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</si>
  <si>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</si>
  <si>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</si>
  <si>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</si>
  <si>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</si>
  <si>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</si>
  <si>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</si>
  <si>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</si>
  <si>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</si>
  <si>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</si>
  <si>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</si>
  <si>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</si>
  <si>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</si>
  <si>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</si>
  <si>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</si>
  <si>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</si>
  <si>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</si>
  <si>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</si>
  <si>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</si>
  <si>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</si>
  <si>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</si>
  <si>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</si>
  <si>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</si>
  <si>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</si>
  <si>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</si>
  <si>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</si>
  <si>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</si>
  <si>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</si>
  <si>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</si>
  <si>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</si>
  <si>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</si>
  <si>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</si>
  <si>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</si>
  <si>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</si>
  <si>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</si>
  <si>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</si>
  <si>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</si>
  <si>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</si>
  <si>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</si>
  <si>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</si>
  <si>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</si>
  <si>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</si>
  <si>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</si>
  <si>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</si>
  <si>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</si>
  <si>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</si>
  <si>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</si>
  <si>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</si>
  <si>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</si>
  <si>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</si>
  <si>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</si>
  <si>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</si>
  <si>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</si>
  <si>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</si>
  <si>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</si>
  <si>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</si>
  <si>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</si>
  <si>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</si>
  <si>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</si>
  <si>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</si>
  <si>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</si>
  <si>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</si>
  <si>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</si>
  <si>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</si>
  <si>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</si>
  <si>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</si>
  <si>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</si>
  <si>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</si>
  <si>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</si>
  <si>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</si>
  <si>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</si>
  <si>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</si>
  <si>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</si>
  <si>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</si>
  <si>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</si>
  <si>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</si>
  <si>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</si>
  <si>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</si>
  <si>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</si>
  <si>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</si>
  <si>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</si>
  <si>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</si>
  <si>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</si>
  <si>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</si>
  <si>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</si>
  <si>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</si>
  <si>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</si>
  <si>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</si>
  <si>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</si>
  <si>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</si>
  <si>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</si>
  <si>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</si>
  <si>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</si>
  <si>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</si>
  <si>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</si>
  <si>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</si>
  <si>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</si>
  <si>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</si>
  <si>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</si>
  <si>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</si>
  <si>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</si>
  <si>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</si>
  <si>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</si>
  <si>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</si>
  <si>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</si>
  <si>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</si>
  <si>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</si>
  <si>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</si>
  <si>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</si>
  <si>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</si>
  <si>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</si>
  <si>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</si>
  <si>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</si>
  <si>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</si>
  <si>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</si>
  <si>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</si>
  <si>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</si>
  <si>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</si>
  <si>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</si>
  <si>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</si>
  <si>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</si>
  <si>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</si>
  <si>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</si>
  <si>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</si>
  <si>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</si>
  <si>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</si>
  <si>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</si>
  <si>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</si>
  <si>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</si>
  <si>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</si>
  <si>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</si>
  <si>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</si>
  <si>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</si>
  <si>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</si>
  <si>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</si>
  <si>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</si>
  <si>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</si>
  <si>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</si>
  <si>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</si>
  <si>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</si>
  <si>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</si>
  <si>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</si>
  <si>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</si>
  <si>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</si>
  <si>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</si>
  <si>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</si>
  <si>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</si>
  <si>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</si>
  <si>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</si>
  <si>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</si>
  <si>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</si>
  <si>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</si>
  <si>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</si>
  <si>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</si>
  <si>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</si>
  <si>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</si>
  <si>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</si>
  <si>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</si>
  <si>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</si>
  <si>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</si>
  <si>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</si>
  <si>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</si>
  <si>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</si>
  <si>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</si>
  <si>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</si>
  <si>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</si>
  <si>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</si>
  <si>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</si>
  <si>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</si>
  <si>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</si>
  <si>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</si>
  <si>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</si>
  <si>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</si>
  <si>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</si>
  <si>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</si>
  <si>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</si>
  <si>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</si>
  <si>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</si>
  <si>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</si>
  <si>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</si>
  <si>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</si>
  <si>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</si>
  <si>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</si>
  <si>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</si>
  <si>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</si>
  <si>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</si>
  <si>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</si>
  <si>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</si>
  <si>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</si>
  <si>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</si>
  <si>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</si>
  <si>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</si>
  <si>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</si>
  <si>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</si>
  <si>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</si>
  <si>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</si>
  <si>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</si>
  <si>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</si>
  <si>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</si>
  <si>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</si>
  <si>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</si>
  <si>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</si>
  <si>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</si>
  <si>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</si>
  <si>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</si>
  <si>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</si>
  <si>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</si>
  <si>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</si>
  <si>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</si>
  <si>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</si>
  <si>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</si>
  <si>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</si>
  <si>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</si>
  <si>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</si>
  <si>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</si>
  <si>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</si>
  <si>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</si>
  <si>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</si>
  <si>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</si>
  <si>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</si>
  <si>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</si>
  <si>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</si>
  <si>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</si>
  <si>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</si>
  <si>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</si>
  <si>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</si>
  <si>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</si>
  <si>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</si>
  <si>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</si>
  <si>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</si>
  <si>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</si>
  <si>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</si>
  <si>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</si>
  <si>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</si>
  <si>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</si>
  <si>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</si>
  <si>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</si>
  <si>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</si>
  <si>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</si>
  <si>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</si>
  <si>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</si>
  <si>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</si>
  <si>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</si>
  <si>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</si>
  <si>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</si>
  <si>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</si>
  <si>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</si>
  <si>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</si>
  <si>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</si>
  <si>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</si>
  <si>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</si>
  <si>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</si>
  <si>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</si>
  <si>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</si>
  <si>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</si>
  <si>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</si>
  <si>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</si>
  <si>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</si>
  <si>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</si>
  <si>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</si>
  <si>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</si>
  <si>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</si>
  <si>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</si>
  <si>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</si>
  <si>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</si>
  <si>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</si>
  <si>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</si>
  <si>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</si>
  <si>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</si>
  <si>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</si>
  <si>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</si>
  <si>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</si>
  <si>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</si>
  <si>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</si>
  <si>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</si>
  <si>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</si>
  <si>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</si>
  <si>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</si>
  <si>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</si>
  <si>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</si>
  <si>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</si>
  <si>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</si>
  <si>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</si>
  <si>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</si>
  <si>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</si>
  <si>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</si>
  <si>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</si>
  <si>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</si>
  <si>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</si>
  <si>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</si>
  <si>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</si>
  <si>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</si>
  <si>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</si>
  <si>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</si>
  <si>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</si>
  <si>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</si>
  <si>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</si>
  <si>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</si>
  <si>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</si>
  <si>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</si>
  <si>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</si>
  <si>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</si>
  <si>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</si>
  <si>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</si>
  <si>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</si>
  <si>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</si>
  <si>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</si>
  <si>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</si>
  <si>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</si>
  <si>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</si>
  <si>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</si>
  <si>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</si>
  <si>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</si>
  <si>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</si>
  <si>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</si>
  <si>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</si>
  <si>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</si>
  <si>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</si>
  <si>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</si>
  <si>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</si>
  <si>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</si>
  <si>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</si>
  <si>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</si>
  <si>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</si>
  <si>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</si>
  <si>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</si>
  <si>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</si>
  <si>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</si>
  <si>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</si>
  <si>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</si>
  <si>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</si>
  <si>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</si>
  <si>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</si>
  <si>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</si>
  <si>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</si>
  <si>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</si>
  <si>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</si>
  <si>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</si>
  <si>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</si>
  <si>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</si>
  <si>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</si>
  <si>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</si>
  <si>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</si>
  <si>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</si>
  <si>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</si>
  <si>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</si>
  <si>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</si>
  <si>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</si>
  <si>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</si>
  <si>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</si>
  <si>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</si>
  <si>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</si>
  <si>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</si>
  <si>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</si>
  <si>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</si>
  <si>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</si>
  <si>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</si>
  <si>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</si>
  <si>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</si>
  <si>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</si>
  <si>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</si>
  <si>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</si>
  <si>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</si>
  <si>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</si>
  <si>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</si>
  <si>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</si>
  <si>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</si>
  <si>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</si>
  <si>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</si>
  <si>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</si>
  <si>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</si>
  <si>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</si>
  <si>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</si>
  <si>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</si>
  <si>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</si>
  <si>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</si>
  <si>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</si>
  <si>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</si>
  <si>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</si>
  <si>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</si>
  <si>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</si>
  <si>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</si>
  <si>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</si>
  <si>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</si>
  <si>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</si>
  <si>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</si>
  <si>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</si>
  <si>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</si>
  <si>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</si>
  <si>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</si>
  <si>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</si>
  <si>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</si>
  <si>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</si>
  <si>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</si>
  <si>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</si>
  <si>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</si>
  <si>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</si>
  <si>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</si>
  <si>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</si>
  <si>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</si>
  <si>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</si>
  <si>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</si>
  <si>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</si>
  <si>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</si>
  <si>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</si>
  <si>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</si>
  <si>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</si>
  <si>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</si>
  <si>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</si>
  <si>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</si>
  <si>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</si>
  <si>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</si>
  <si>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</si>
  <si>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</si>
  <si>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</si>
  <si>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</si>
  <si>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</si>
  <si>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</si>
  <si>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</si>
  <si>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</si>
  <si>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</si>
  <si>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</si>
  <si>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</si>
  <si>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</si>
  <si>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</si>
  <si>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</si>
  <si>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</si>
  <si>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</si>
  <si>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</si>
  <si>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</si>
  <si>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</si>
  <si>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</si>
  <si>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</si>
  <si>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</si>
  <si>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</si>
  <si>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</si>
  <si>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</si>
  <si>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</si>
  <si>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</si>
  <si>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</si>
  <si>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</si>
  <si>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</si>
  <si>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</si>
  <si>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</si>
  <si>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</si>
  <si>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</si>
  <si>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</si>
  <si>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</si>
  <si>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</si>
  <si>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</si>
  <si>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</si>
  <si>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</si>
  <si>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</si>
  <si>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</si>
  <si>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</si>
  <si>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</si>
  <si>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</si>
  <si>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</si>
  <si>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</si>
  <si>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</si>
  <si>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</si>
  <si>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</si>
  <si>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</si>
  <si>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</si>
  <si>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</si>
  <si>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</si>
  <si>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</si>
  <si>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</si>
  <si>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</si>
  <si>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</si>
  <si>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</si>
  <si>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</si>
  <si>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</si>
  <si>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</si>
  <si>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</si>
  <si>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</si>
  <si>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</si>
  <si>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</si>
  <si>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</si>
  <si>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</si>
  <si>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</si>
  <si>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</si>
  <si>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</si>
  <si>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</si>
  <si>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</si>
  <si>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</si>
  <si>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</si>
  <si>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</si>
  <si>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</si>
  <si>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</si>
  <si>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</si>
  <si>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</si>
  <si>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</si>
  <si>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</si>
  <si>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</si>
  <si>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</si>
  <si>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</si>
  <si>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</si>
  <si>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</si>
  <si>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</si>
  <si>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</si>
  <si>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</si>
  <si>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</si>
  <si>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</si>
  <si>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</si>
  <si>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</si>
  <si>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</si>
  <si>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</si>
  <si>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</si>
  <si>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</si>
  <si>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</si>
  <si>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</si>
  <si>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</si>
  <si>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</si>
  <si>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</si>
  <si>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</si>
  <si>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</si>
  <si>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</si>
  <si>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</si>
  <si>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</si>
  <si>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</si>
  <si>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</si>
  <si>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</si>
  <si>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</si>
  <si>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</si>
  <si>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</si>
  <si>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</si>
  <si>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</si>
  <si>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</si>
  <si>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</si>
  <si>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</si>
  <si>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</si>
  <si>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</si>
  <si>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</si>
  <si>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</si>
  <si>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</si>
  <si>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</si>
  <si>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</si>
  <si>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</si>
  <si>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</si>
  <si>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</si>
  <si>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</si>
  <si>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</si>
  <si>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</si>
  <si>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</si>
  <si>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</si>
  <si>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</si>
  <si>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</si>
  <si>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</si>
  <si>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</si>
  <si>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</si>
  <si>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</si>
  <si>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</si>
  <si>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</si>
  <si>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</si>
  <si>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</si>
  <si>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</si>
  <si>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</si>
  <si>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</si>
  <si>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</si>
  <si>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</si>
  <si>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</si>
  <si>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</si>
  <si>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</si>
  <si>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</si>
  <si>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</si>
  <si>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</si>
  <si>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</si>
  <si>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</si>
  <si>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</si>
  <si>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</si>
  <si>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</si>
  <si>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</si>
  <si>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</si>
  <si>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</si>
  <si>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</si>
  <si>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</si>
  <si>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</si>
  <si>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</si>
  <si>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</si>
  <si>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</si>
  <si>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</si>
  <si>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</si>
  <si>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</si>
  <si>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</si>
  <si>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</si>
  <si>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</si>
  <si>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</si>
  <si>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</si>
  <si>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</si>
  <si>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</si>
  <si>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</si>
  <si>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</si>
  <si>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</si>
  <si>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</si>
  <si>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</si>
  <si>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</si>
  <si>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</si>
  <si>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</si>
  <si>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</si>
  <si>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</si>
  <si>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</si>
  <si>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</si>
  <si>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</si>
  <si>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</si>
  <si>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</si>
  <si>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</si>
  <si>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</si>
  <si>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</si>
  <si>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</si>
  <si>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</si>
  <si>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</si>
  <si>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</si>
  <si>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</si>
  <si>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</si>
  <si>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</si>
  <si>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</si>
  <si>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</si>
  <si>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</si>
  <si>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</si>
  <si>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</si>
  <si>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</si>
  <si>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</si>
  <si>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</si>
  <si>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</si>
  <si>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</si>
  <si>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</si>
  <si>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</si>
  <si>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</si>
  <si>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</si>
  <si>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</si>
  <si>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</si>
  <si>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</si>
  <si>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45035</t>
  </si>
  <si>
    <t>OUDENAARDE</t>
  </si>
  <si>
    <t>Paarden&amp;pony's 200 - 600 kg</t>
  </si>
  <si>
    <t>Paarden&amp;pony's &lt; 200 kg</t>
  </si>
  <si>
    <t>referentietaak LNE (2017); Jaarverslag De Lijn (2014)</t>
  </si>
  <si>
    <t>op basis van VEA (maart 2018) en Inventaris Hernieuwbare Energiebronnen (juni 2018)</t>
  </si>
  <si>
    <t>VEA (maart 2016)</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</si>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</sst>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225945.65590624628</c:v>
                </c:pt>
                <c:pt idx="1">
                  <c:v>159027.13513408328</c:v>
                </c:pt>
                <c:pt idx="2">
                  <c:v>2437.6819999999998</c:v>
                </c:pt>
                <c:pt idx="3">
                  <c:v>20507.254523669049</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225945.65590624628</c:v>
                </c:pt>
                <c:pt idx="1">
                  <c:v>159027.13513408328</c:v>
                </c:pt>
                <c:pt idx="2">
                  <c:v>2437.6819999999998</c:v>
                </c:pt>
                <c:pt idx="3">
                  <c:v>20507.254523669049</c:v>
                </c:pt>
                <c:pt idx="4">
                  <c:v>435806.92715706385</c:v>
                </c:pt>
                <c:pt idx="5">
                  <c:v>171894.06798969835</c:v>
                </c:pt>
                <c:pt idx="6">
                  <c:v>2586.6058682403736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44984.706700391012</c:v>
                </c:pt>
                <c:pt idx="1">
                  <c:v>32007.193146772166</c:v>
                </c:pt>
                <c:pt idx="2">
                  <c:v>507.54304222606743</c:v>
                </c:pt>
                <c:pt idx="3">
                  <c:v>4523.1626201700356</c:v>
                </c:pt>
                <c:pt idx="4">
                  <c:v>86888.585228082185</c:v>
                </c:pt>
                <c:pt idx="5">
                  <c:v>43078.134346430226</c:v>
                </c:pt>
                <c:pt idx="6">
                  <c:v>653.3643051569195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85440"/>
      </c:barChart>
      <c:catAx>
        <c:axId val="176638592"/>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44984.706700391012</c:v>
                </c:pt>
                <c:pt idx="1">
                  <c:v>32007.193146772166</c:v>
                </c:pt>
                <c:pt idx="2">
                  <c:v>507.54304222606743</c:v>
                </c:pt>
                <c:pt idx="3">
                  <c:v>4523.1626201700356</c:v>
                </c:pt>
                <c:pt idx="4">
                  <c:v>86888.585228082185</c:v>
                </c:pt>
                <c:pt idx="5">
                  <c:v>43078.134346430226</c:v>
                </c:pt>
                <c:pt idx="6">
                  <c:v>653.3643051569195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45035</v>
      </c>
      <c r="B6" s="416"/>
      <c r="C6" s="417"/>
    </row>
    <row r="7" spans="1:7" s="414" customFormat="1" ht="15.75" customHeight="1">
      <c r="A7" s="418" t="str">
        <f>txtMunicipality</f>
        <v>OUDENAARDE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13058</v>
      </c>
      <c r="C9" s="342">
        <v>13748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3785</v>
      </c>
    </row>
    <row r="15" spans="1:6">
      <c r="A15" s="348" t="s">
        <v>184</v>
      </c>
      <c r="B15" s="334">
        <v>32</v>
      </c>
    </row>
    <row r="16" spans="1:6">
      <c r="A16" s="348" t="s">
        <v>6</v>
      </c>
      <c r="B16" s="334">
        <v>1072</v>
      </c>
    </row>
    <row r="17" spans="1:6">
      <c r="A17" s="348" t="s">
        <v>7</v>
      </c>
      <c r="B17" s="334">
        <v>819</v>
      </c>
    </row>
    <row r="18" spans="1:6">
      <c r="A18" s="348" t="s">
        <v>8</v>
      </c>
      <c r="B18" s="334">
        <v>1207</v>
      </c>
    </row>
    <row r="19" spans="1:6">
      <c r="A19" s="348" t="s">
        <v>9</v>
      </c>
      <c r="B19" s="334">
        <v>1201</v>
      </c>
    </row>
    <row r="20" spans="1:6">
      <c r="A20" s="348" t="s">
        <v>10</v>
      </c>
      <c r="B20" s="334">
        <v>770</v>
      </c>
    </row>
    <row r="21" spans="1:6">
      <c r="A21" s="348" t="s">
        <v>11</v>
      </c>
      <c r="B21" s="334">
        <v>1839</v>
      </c>
    </row>
    <row r="22" spans="1:6">
      <c r="A22" s="348" t="s">
        <v>12</v>
      </c>
      <c r="B22" s="334">
        <v>5220</v>
      </c>
    </row>
    <row r="23" spans="1:6">
      <c r="A23" s="348" t="s">
        <v>13</v>
      </c>
      <c r="B23" s="334">
        <v>190</v>
      </c>
    </row>
    <row r="24" spans="1:6">
      <c r="A24" s="348" t="s">
        <v>14</v>
      </c>
      <c r="B24" s="334">
        <v>11</v>
      </c>
    </row>
    <row r="25" spans="1:6">
      <c r="A25" s="348" t="s">
        <v>15</v>
      </c>
      <c r="B25" s="334">
        <v>527</v>
      </c>
    </row>
    <row r="26" spans="1:6">
      <c r="A26" s="348" t="s">
        <v>16</v>
      </c>
      <c r="B26" s="334">
        <v>65</v>
      </c>
    </row>
    <row r="27" spans="1:6">
      <c r="A27" s="348" t="s">
        <v>17</v>
      </c>
      <c r="B27" s="334">
        <v>5</v>
      </c>
    </row>
    <row r="28" spans="1:6" s="356" customFormat="1">
      <c r="A28" s="355" t="s">
        <v>18</v>
      </c>
      <c r="B28" s="355">
        <v>215142</v>
      </c>
    </row>
    <row r="29" spans="1:6">
      <c r="A29" s="355" t="s">
        <v>828</v>
      </c>
      <c r="B29" s="355">
        <v>69</v>
      </c>
      <c r="C29" s="356"/>
      <c r="D29" s="356"/>
      <c r="E29" s="356"/>
      <c r="F29" s="356"/>
    </row>
    <row r="30" spans="1:6">
      <c r="A30" s="341" t="s">
        <v>829</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30671.53</v>
      </c>
    </row>
    <row r="36" spans="1:6">
      <c r="A36" s="348" t="s">
        <v>25</v>
      </c>
      <c r="B36" s="348" t="s">
        <v>27</v>
      </c>
      <c r="C36" s="334">
        <v>0</v>
      </c>
      <c r="D36" s="334">
        <v>0</v>
      </c>
      <c r="E36" s="334">
        <v>7</v>
      </c>
      <c r="F36" s="334">
        <v>31885.43</v>
      </c>
    </row>
    <row r="37" spans="1:6">
      <c r="A37" s="348" t="s">
        <v>25</v>
      </c>
      <c r="B37" s="348" t="s">
        <v>28</v>
      </c>
      <c r="C37" s="334">
        <v>0</v>
      </c>
      <c r="D37" s="334">
        <v>0</v>
      </c>
      <c r="E37" s="334">
        <v>0</v>
      </c>
      <c r="F37" s="334">
        <v>0</v>
      </c>
    </row>
    <row r="38" spans="1:6">
      <c r="A38" s="348" t="s">
        <v>25</v>
      </c>
      <c r="B38" s="348" t="s">
        <v>29</v>
      </c>
      <c r="C38" s="334">
        <v>3</v>
      </c>
      <c r="D38" s="334">
        <v>110202.055069649</v>
      </c>
      <c r="E38" s="334">
        <v>1</v>
      </c>
      <c r="F38" s="334">
        <v>178975.9</v>
      </c>
    </row>
    <row r="39" spans="1:6">
      <c r="A39" s="348" t="s">
        <v>30</v>
      </c>
      <c r="B39" s="348" t="s">
        <v>31</v>
      </c>
      <c r="C39" s="334">
        <v>7737</v>
      </c>
      <c r="D39" s="334">
        <v>107456892.82248899</v>
      </c>
      <c r="E39" s="334">
        <v>12851</v>
      </c>
      <c r="F39" s="334">
        <v>50827966</v>
      </c>
    </row>
    <row r="40" spans="1:6">
      <c r="A40" s="348" t="s">
        <v>30</v>
      </c>
      <c r="B40" s="348" t="s">
        <v>29</v>
      </c>
      <c r="C40" s="334">
        <v>1</v>
      </c>
      <c r="D40" s="334">
        <v>39832.4743597044</v>
      </c>
      <c r="E40" s="334">
        <v>1</v>
      </c>
      <c r="F40" s="334">
        <v>18438.87</v>
      </c>
    </row>
    <row r="41" spans="1:6">
      <c r="A41" s="348" t="s">
        <v>32</v>
      </c>
      <c r="B41" s="348" t="s">
        <v>33</v>
      </c>
      <c r="C41" s="334">
        <v>151</v>
      </c>
      <c r="D41" s="334">
        <v>7966777.2262498103</v>
      </c>
      <c r="E41" s="334">
        <v>300</v>
      </c>
      <c r="F41" s="334">
        <v>11894448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1061519.4128060399</v>
      </c>
      <c r="E44" s="334">
        <v>41</v>
      </c>
      <c r="F44" s="334">
        <v>3313800</v>
      </c>
    </row>
    <row r="45" spans="1:6">
      <c r="A45" s="348" t="s">
        <v>32</v>
      </c>
      <c r="B45" s="348" t="s">
        <v>37</v>
      </c>
      <c r="C45" s="334">
        <v>0</v>
      </c>
      <c r="D45" s="334">
        <v>0</v>
      </c>
      <c r="E45" s="334">
        <v>10</v>
      </c>
      <c r="F45" s="334">
        <v>8346563</v>
      </c>
    </row>
    <row r="46" spans="1:6">
      <c r="A46" s="348" t="s">
        <v>32</v>
      </c>
      <c r="B46" s="348" t="s">
        <v>38</v>
      </c>
      <c r="C46" s="334">
        <v>0</v>
      </c>
      <c r="D46" s="334">
        <v>0</v>
      </c>
      <c r="E46" s="334">
        <v>0</v>
      </c>
      <c r="F46" s="334">
        <v>0</v>
      </c>
    </row>
    <row r="47" spans="1:6">
      <c r="A47" s="348" t="s">
        <v>32</v>
      </c>
      <c r="B47" s="348" t="s">
        <v>39</v>
      </c>
      <c r="C47" s="334">
        <v>5</v>
      </c>
      <c r="D47" s="334">
        <v>420329.45728640398</v>
      </c>
      <c r="E47" s="334">
        <v>13</v>
      </c>
      <c r="F47" s="334">
        <v>1440615</v>
      </c>
    </row>
    <row r="48" spans="1:6">
      <c r="A48" s="348" t="s">
        <v>32</v>
      </c>
      <c r="B48" s="348" t="s">
        <v>29</v>
      </c>
      <c r="C48" s="334">
        <v>50</v>
      </c>
      <c r="D48" s="334">
        <v>177961473.48893601</v>
      </c>
      <c r="E48" s="334">
        <v>51</v>
      </c>
      <c r="F48" s="334">
        <v>113000000</v>
      </c>
    </row>
    <row r="49" spans="1:6">
      <c r="A49" s="348" t="s">
        <v>32</v>
      </c>
      <c r="B49" s="348" t="s">
        <v>40</v>
      </c>
      <c r="C49" s="334">
        <v>0</v>
      </c>
      <c r="D49" s="334">
        <v>0</v>
      </c>
      <c r="E49" s="334">
        <v>7</v>
      </c>
      <c r="F49" s="334">
        <v>12083987</v>
      </c>
    </row>
    <row r="50" spans="1:6">
      <c r="A50" s="348" t="s">
        <v>32</v>
      </c>
      <c r="B50" s="348" t="s">
        <v>41</v>
      </c>
      <c r="C50" s="334">
        <v>23</v>
      </c>
      <c r="D50" s="334">
        <v>18855619.517464899</v>
      </c>
      <c r="E50" s="334">
        <v>44</v>
      </c>
      <c r="F50" s="334">
        <v>8355416</v>
      </c>
    </row>
    <row r="51" spans="1:6">
      <c r="A51" s="348" t="s">
        <v>42</v>
      </c>
      <c r="B51" s="348" t="s">
        <v>43</v>
      </c>
      <c r="C51" s="334">
        <v>28</v>
      </c>
      <c r="D51" s="334">
        <v>526257.89310682099</v>
      </c>
      <c r="E51" s="334">
        <v>129</v>
      </c>
      <c r="F51" s="334">
        <v>1857122</v>
      </c>
    </row>
    <row r="52" spans="1:6">
      <c r="A52" s="348" t="s">
        <v>42</v>
      </c>
      <c r="B52" s="348" t="s">
        <v>29</v>
      </c>
      <c r="C52" s="334">
        <v>8</v>
      </c>
      <c r="D52" s="334">
        <v>155018.959489706</v>
      </c>
      <c r="E52" s="334">
        <v>9</v>
      </c>
      <c r="F52" s="334">
        <v>84136.5</v>
      </c>
    </row>
    <row r="53" spans="1:6">
      <c r="A53" s="348" t="s">
        <v>44</v>
      </c>
      <c r="B53" s="348" t="s">
        <v>45</v>
      </c>
      <c r="C53" s="334">
        <v>318</v>
      </c>
      <c r="D53" s="334">
        <v>14145915.482788</v>
      </c>
      <c r="E53" s="334">
        <v>603</v>
      </c>
      <c r="F53" s="334">
        <v>5508095</v>
      </c>
    </row>
    <row r="54" spans="1:6">
      <c r="A54" s="348" t="s">
        <v>46</v>
      </c>
      <c r="B54" s="348" t="s">
        <v>47</v>
      </c>
      <c r="C54" s="334">
        <v>0</v>
      </c>
      <c r="D54" s="334">
        <v>0</v>
      </c>
      <c r="E54" s="334">
        <v>1</v>
      </c>
      <c r="F54" s="334">
        <v>2437682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116</v>
      </c>
      <c r="D57" s="334">
        <v>7556993.6886839196</v>
      </c>
      <c r="E57" s="334">
        <v>266</v>
      </c>
      <c r="F57" s="334">
        <v>5875828</v>
      </c>
    </row>
    <row r="58" spans="1:6">
      <c r="A58" s="348" t="s">
        <v>49</v>
      </c>
      <c r="B58" s="348" t="s">
        <v>51</v>
      </c>
      <c r="C58" s="334">
        <v>65</v>
      </c>
      <c r="D58" s="334">
        <v>6214187.2833287604</v>
      </c>
      <c r="E58" s="334">
        <v>95</v>
      </c>
      <c r="F58" s="334">
        <v>4704477</v>
      </c>
    </row>
    <row r="59" spans="1:6">
      <c r="A59" s="348" t="s">
        <v>49</v>
      </c>
      <c r="B59" s="348" t="s">
        <v>52</v>
      </c>
      <c r="C59" s="334">
        <v>307</v>
      </c>
      <c r="D59" s="334">
        <v>10279602.053131601</v>
      </c>
      <c r="E59" s="334">
        <v>542</v>
      </c>
      <c r="F59" s="334">
        <v>21102200</v>
      </c>
    </row>
    <row r="60" spans="1:6">
      <c r="A60" s="348" t="s">
        <v>49</v>
      </c>
      <c r="B60" s="348" t="s">
        <v>53</v>
      </c>
      <c r="C60" s="334">
        <v>139</v>
      </c>
      <c r="D60" s="334">
        <v>6156312.50479024</v>
      </c>
      <c r="E60" s="334">
        <v>199</v>
      </c>
      <c r="F60" s="334">
        <v>5225553</v>
      </c>
    </row>
    <row r="61" spans="1:6">
      <c r="A61" s="348" t="s">
        <v>49</v>
      </c>
      <c r="B61" s="348" t="s">
        <v>54</v>
      </c>
      <c r="C61" s="334">
        <v>357</v>
      </c>
      <c r="D61" s="334">
        <v>67208418.240061998</v>
      </c>
      <c r="E61" s="334">
        <v>707</v>
      </c>
      <c r="F61" s="334">
        <v>9890215</v>
      </c>
    </row>
    <row r="62" spans="1:6">
      <c r="A62" s="348" t="s">
        <v>49</v>
      </c>
      <c r="B62" s="348" t="s">
        <v>55</v>
      </c>
      <c r="C62" s="334">
        <v>36</v>
      </c>
      <c r="D62" s="334">
        <v>4927420.4088216703</v>
      </c>
      <c r="E62" s="334">
        <v>49</v>
      </c>
      <c r="F62" s="334">
        <v>1786302</v>
      </c>
    </row>
    <row r="63" spans="1:6">
      <c r="A63" s="348" t="s">
        <v>49</v>
      </c>
      <c r="B63" s="348" t="s">
        <v>29</v>
      </c>
      <c r="C63" s="334">
        <v>85</v>
      </c>
      <c r="D63" s="334">
        <v>3294013.86229586</v>
      </c>
      <c r="E63" s="334">
        <v>90</v>
      </c>
      <c r="F63" s="334">
        <v>2301845</v>
      </c>
    </row>
    <row r="64" spans="1:6">
      <c r="A64" s="348" t="s">
        <v>56</v>
      </c>
      <c r="B64" s="348" t="s">
        <v>57</v>
      </c>
      <c r="C64" s="334">
        <v>0</v>
      </c>
      <c r="D64" s="334">
        <v>0</v>
      </c>
      <c r="E64" s="334">
        <v>0</v>
      </c>
      <c r="F64" s="334">
        <v>0</v>
      </c>
    </row>
    <row r="65" spans="1:6">
      <c r="A65" s="348" t="s">
        <v>56</v>
      </c>
      <c r="B65" s="348" t="s">
        <v>29</v>
      </c>
      <c r="C65" s="334">
        <v>5</v>
      </c>
      <c r="D65" s="334">
        <v>209700.484241606</v>
      </c>
      <c r="E65" s="334">
        <v>2</v>
      </c>
      <c r="F65" s="334">
        <v>6726.7650000000003</v>
      </c>
    </row>
    <row r="66" spans="1:6">
      <c r="A66" s="348" t="s">
        <v>56</v>
      </c>
      <c r="B66" s="348" t="s">
        <v>58</v>
      </c>
      <c r="C66" s="334">
        <v>3</v>
      </c>
      <c r="D66" s="334">
        <v>447602.219310652</v>
      </c>
      <c r="E66" s="334">
        <v>17</v>
      </c>
      <c r="F66" s="334">
        <v>635247.1</v>
      </c>
    </row>
    <row r="67" spans="1:6">
      <c r="A67" s="355" t="s">
        <v>56</v>
      </c>
      <c r="B67" s="355" t="s">
        <v>59</v>
      </c>
      <c r="C67" s="334">
        <v>0</v>
      </c>
      <c r="D67" s="334">
        <v>0</v>
      </c>
      <c r="E67" s="334">
        <v>0</v>
      </c>
      <c r="F67" s="334">
        <v>0</v>
      </c>
    </row>
    <row r="68" spans="1:6">
      <c r="A68" s="341" t="s">
        <v>56</v>
      </c>
      <c r="B68" s="341" t="s">
        <v>60</v>
      </c>
      <c r="C68" s="334">
        <v>8</v>
      </c>
      <c r="D68" s="334">
        <v>315307.48330053798</v>
      </c>
      <c r="E68" s="334">
        <v>30</v>
      </c>
      <c r="F68" s="334">
        <v>758502.8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158848082</v>
      </c>
      <c r="E73" s="477">
        <v>173768704.39472911</v>
      </c>
    </row>
    <row r="74" spans="1:6">
      <c r="A74" s="348" t="s">
        <v>64</v>
      </c>
      <c r="B74" s="348" t="s">
        <v>714</v>
      </c>
      <c r="C74" s="1229" t="s">
        <v>716</v>
      </c>
      <c r="D74" s="477">
        <v>17132931.578980722</v>
      </c>
      <c r="E74" s="477">
        <v>18351861.508711409</v>
      </c>
    </row>
    <row r="75" spans="1:6">
      <c r="A75" s="348" t="s">
        <v>65</v>
      </c>
      <c r="B75" s="348" t="s">
        <v>713</v>
      </c>
      <c r="C75" s="1229" t="s">
        <v>717</v>
      </c>
      <c r="D75" s="477">
        <v>33520128</v>
      </c>
      <c r="E75" s="477">
        <v>37058091.077599831</v>
      </c>
    </row>
    <row r="76" spans="1:6">
      <c r="A76" s="348" t="s">
        <v>65</v>
      </c>
      <c r="B76" s="348" t="s">
        <v>714</v>
      </c>
      <c r="C76" s="1229" t="s">
        <v>718</v>
      </c>
      <c r="D76" s="477">
        <v>622862.57898072002</v>
      </c>
      <c r="E76" s="477">
        <v>705206.75228192704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691202.84203855996</v>
      </c>
      <c r="C83" s="477">
        <v>701305.30261834257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4445.6659338035424</v>
      </c>
    </row>
    <row r="92" spans="1:6">
      <c r="A92" s="341" t="s">
        <v>69</v>
      </c>
      <c r="B92" s="342">
        <v>11652.361879090207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2</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67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325</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272956.12504433084</v>
      </c>
      <c r="C3" s="43" t="s">
        <v>170</v>
      </c>
      <c r="D3" s="43"/>
      <c r="E3" s="154"/>
      <c r="F3" s="43"/>
      <c r="G3" s="43"/>
      <c r="H3" s="43"/>
      <c r="I3" s="43"/>
      <c r="J3" s="43"/>
      <c r="K3" s="96"/>
    </row>
    <row r="4" spans="1:11">
      <c r="A4" s="384" t="s">
        <v>171</v>
      </c>
      <c r="B4" s="49">
        <f>IF(ISERROR('SEAP template'!B69),0,'SEAP template'!B69)</f>
        <v>20068.377812893748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943.2494113402131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0.20820724041366653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1355.1354458026442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5704.0714285714284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0.2375733654061262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2437.6819999999998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2437.6819999999998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0.20820724041366653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507.54304222606743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50846.404869999998</v>
      </c>
      <c r="C5" s="17">
        <f>IF(ISERROR('Eigen informatie GS &amp; warmtenet'!B57),0,'Eigen informatie GS &amp; warmtenet'!B57)</f>
        <v>0</v>
      </c>
      <c r="D5" s="30">
        <f>(SUM(HH_hh_gas_kWh,HH_rest_gas_kWh)/1000)*0.902</f>
        <v>96962.046217757525</v>
      </c>
      <c r="E5" s="17">
        <f>B46*B57</f>
        <v>9150.420874247091</v>
      </c>
      <c r="F5" s="17">
        <f>B51*B62</f>
        <v>42992.692712031247</v>
      </c>
      <c r="G5" s="18"/>
      <c r="H5" s="17"/>
      <c r="I5" s="17"/>
      <c r="J5" s="17">
        <f>B50*B61+C50*C61</f>
        <v>932.11692943658511</v>
      </c>
      <c r="K5" s="17"/>
      <c r="L5" s="17"/>
      <c r="M5" s="17"/>
      <c r="N5" s="17">
        <f>B48*B59+C48*C59</f>
        <v>19126.415035636928</v>
      </c>
      <c r="O5" s="17">
        <f>B69*B70*B71</f>
        <v>612.82666666666671</v>
      </c>
      <c r="P5" s="17">
        <f>B77*B78*B79/1000-B77*B78*B79/1000/B80</f>
        <v>877.06666666666661</v>
      </c>
    </row>
    <row r="6" spans="1:16">
      <c r="A6" s="16" t="s">
        <v>631</v>
      </c>
      <c r="B6" s="844">
        <f>kWh_PV_kleiner_dan_10kW</f>
        <v>4445.6659338035424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55292.070803803537</v>
      </c>
      <c r="C8" s="21">
        <f>C5</f>
        <v>0</v>
      </c>
      <c r="D8" s="21">
        <f>D5</f>
        <v>96962.046217757525</v>
      </c>
      <c r="E8" s="21">
        <f>E5</f>
        <v>9150.420874247091</v>
      </c>
      <c r="F8" s="21">
        <f>F5</f>
        <v>42992.692712031247</v>
      </c>
      <c r="G8" s="21"/>
      <c r="H8" s="21"/>
      <c r="I8" s="21"/>
      <c r="J8" s="21">
        <f>J5</f>
        <v>932.11692943658511</v>
      </c>
      <c r="K8" s="21"/>
      <c r="L8" s="21">
        <f>L5</f>
        <v>0</v>
      </c>
      <c r="M8" s="21">
        <f>M5</f>
        <v>0</v>
      </c>
      <c r="N8" s="21">
        <f>N5</f>
        <v>19126.415035636928</v>
      </c>
      <c r="O8" s="21">
        <f>O5</f>
        <v>612.82666666666671</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0.20820724041366653</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11512.209478816996</v>
      </c>
      <c r="C12" s="23">
        <f ca="1">C10*C8</f>
        <v>0</v>
      </c>
      <c r="D12" s="23">
        <f>D8*D10</f>
        <v>19586.333335987023</v>
      </c>
      <c r="E12" s="23">
        <f>E10*E8</f>
        <v>2077.1455384540895</v>
      </c>
      <c r="F12" s="23">
        <f>F10*F8</f>
        <v>11479.048954112344</v>
      </c>
      <c r="G12" s="23"/>
      <c r="H12" s="23"/>
      <c r="I12" s="23"/>
      <c r="J12" s="23">
        <f>J10*J8</f>
        <v>329.96939302055114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13058</v>
      </c>
      <c r="C28" s="36"/>
      <c r="D28" s="228"/>
    </row>
    <row r="29" spans="1:7" s="15" customFormat="1">
      <c r="A29" s="230" t="s">
        <v>741</v>
      </c>
      <c r="B29" s="37">
        <f>SUM(HH_hh_gas_aantal,HH_rest_gas_aantal)</f>
        <v>7738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7738</v>
      </c>
      <c r="C32" s="167">
        <f>IF(ISERROR(B32/SUM($B$32,$B$34,$B$35,$B$36,$B$38,$B$39)*100),0,B32/SUM($B$32,$B$34,$B$35,$B$36,$B$38,$B$39)*100)</f>
        <v>59.468183215493397</v>
      </c>
      <c r="D32" s="233"/>
      <c r="G32" s="15"/>
    </row>
    <row r="33" spans="1:7">
      <c r="A33" s="171" t="s">
        <v>72</v>
      </c>
      <c r="B33" s="34" t="s">
        <v>111</v>
      </c>
      <c r="C33" s="167"/>
      <c r="D33" s="233"/>
      <c r="G33" s="15"/>
    </row>
    <row r="34" spans="1:7">
      <c r="A34" s="171" t="s">
        <v>73</v>
      </c>
      <c r="B34" s="33">
        <f>IF((($B$28-$B$32-$B$39-$B$77-$B$38)*C20/100)&lt;0,0,($B$28-$B$32-$B$39-$B$77-$B$38)*C20/100)</f>
        <v>613.27862068965521</v>
      </c>
      <c r="C34" s="167">
        <f>IF(ISERROR(B34/SUM($B$32,$B$34,$B$35,$B$36,$B$38,$B$39)*100),0,B34/SUM($B$32,$B$34,$B$35,$B$36,$B$38,$B$39)*100)</f>
        <v>4.7131772263268932</v>
      </c>
      <c r="D34" s="233"/>
      <c r="G34" s="15"/>
    </row>
    <row r="35" spans="1:7">
      <c r="A35" s="171" t="s">
        <v>74</v>
      </c>
      <c r="B35" s="33">
        <f>IF((($B$28-$B$32-$B$39-$B$77-$B$38)*C21/100)&lt;0,0,($B$28-$B$32-$B$39-$B$77-$B$38)*C21/100)</f>
        <v>2549.6937931034486</v>
      </c>
      <c r="C35" s="167">
        <f>IF(ISERROR(B35/SUM($B$32,$B$34,$B$35,$B$36,$B$38,$B$39)*100),0,B35/SUM($B$32,$B$34,$B$35,$B$36,$B$38,$B$39)*100)</f>
        <v>19.594941539374801</v>
      </c>
      <c r="D35" s="233"/>
      <c r="G35" s="15"/>
    </row>
    <row r="36" spans="1:7">
      <c r="A36" s="171" t="s">
        <v>75</v>
      </c>
      <c r="B36" s="33">
        <f>IF((($B$28-$B$32-$B$39-$B$77-$B$38)*C22/100)&lt;0,0,($B$28-$B$32-$B$39-$B$77-$B$38)*C22/100)</f>
        <v>338.0275862068965</v>
      </c>
      <c r="C36" s="167">
        <f>IF(ISERROR(B36/SUM($B$32,$B$34,$B$35,$B$36,$B$38,$B$39)*100),0,B36/SUM($B$32,$B$34,$B$35,$B$36,$B$38,$B$39)*100)</f>
        <v>2.5978142192352949</v>
      </c>
      <c r="D36" s="233"/>
      <c r="G36" s="15"/>
    </row>
    <row r="37" spans="1:7">
      <c r="A37" s="171" t="s">
        <v>76</v>
      </c>
      <c r="B37" s="34" t="s">
        <v>111</v>
      </c>
      <c r="C37" s="167"/>
      <c r="D37" s="173"/>
      <c r="G37" s="15"/>
    </row>
    <row r="38" spans="1:7">
      <c r="A38" s="171" t="s">
        <v>77</v>
      </c>
      <c r="B38" s="33">
        <f>IF((B24-(B29-B18)*0.1)&lt;0,0,B24-(B29-B18)*0.1)</f>
        <v>26.5</v>
      </c>
      <c r="C38" s="167">
        <f>IF(ISERROR(B38/SUM($B$32,$B$34,$B$35,$B$36,$B$38,$B$39)*100),0,B38/SUM($B$32,$B$34,$B$35,$B$36,$B$38,$B$39)*100)</f>
        <v>0.20365816169689521</v>
      </c>
      <c r="D38" s="234"/>
      <c r="G38" s="15"/>
    </row>
    <row r="39" spans="1:7">
      <c r="A39" s="171" t="s">
        <v>78</v>
      </c>
      <c r="B39" s="33">
        <f>IF((B25-(B29-B18))&lt;0,0,B25-(B29-B18)*0.9)</f>
        <v>1746.5</v>
      </c>
      <c r="C39" s="167">
        <f>IF(ISERROR(B39/SUM($B$32,$B$34,$B$35,$B$36,$B$38,$B$39)*100),0,B39/SUM($B$32,$B$34,$B$35,$B$36,$B$38,$B$39)*100)</f>
        <v>13.422225637872733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7738</v>
      </c>
      <c r="C44" s="34" t="s">
        <v>111</v>
      </c>
      <c r="D44" s="174"/>
    </row>
    <row r="45" spans="1:7">
      <c r="A45" s="171" t="s">
        <v>72</v>
      </c>
      <c r="B45" s="33" t="str">
        <f t="shared" si="0"/>
        <v>-</v>
      </c>
      <c r="C45" s="34" t="s">
        <v>111</v>
      </c>
      <c r="D45" s="174"/>
    </row>
    <row r="46" spans="1:7">
      <c r="A46" s="171" t="s">
        <v>73</v>
      </c>
      <c r="B46" s="33">
        <f t="shared" si="0"/>
        <v>613.27862068965521</v>
      </c>
      <c r="C46" s="34" t="s">
        <v>111</v>
      </c>
      <c r="D46" s="174"/>
    </row>
    <row r="47" spans="1:7">
      <c r="A47" s="171" t="s">
        <v>74</v>
      </c>
      <c r="B47" s="33">
        <f t="shared" si="0"/>
        <v>2549.6937931034486</v>
      </c>
      <c r="C47" s="34" t="s">
        <v>111</v>
      </c>
      <c r="D47" s="174"/>
    </row>
    <row r="48" spans="1:7">
      <c r="A48" s="171" t="s">
        <v>75</v>
      </c>
      <c r="B48" s="33">
        <f t="shared" si="0"/>
        <v>338.0275862068965</v>
      </c>
      <c r="C48" s="33">
        <f>B48*10</f>
        <v>3380.2758620689651</v>
      </c>
      <c r="D48" s="234"/>
    </row>
    <row r="49" spans="1:6">
      <c r="A49" s="171" t="s">
        <v>76</v>
      </c>
      <c r="B49" s="33" t="str">
        <f t="shared" si="0"/>
        <v>-</v>
      </c>
      <c r="C49" s="34" t="s">
        <v>111</v>
      </c>
      <c r="D49" s="234"/>
    </row>
    <row r="50" spans="1:6">
      <c r="A50" s="171" t="s">
        <v>77</v>
      </c>
      <c r="B50" s="33">
        <f t="shared" si="0"/>
        <v>26.5</v>
      </c>
      <c r="C50" s="33">
        <f>B50*2</f>
        <v>53</v>
      </c>
      <c r="D50" s="234"/>
    </row>
    <row r="51" spans="1:6">
      <c r="A51" s="171" t="s">
        <v>78</v>
      </c>
      <c r="B51" s="33">
        <f t="shared" si="0"/>
        <v>1746.5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50886.420000000006</v>
      </c>
      <c r="C5" s="17">
        <f>IF(ISERROR('Eigen informatie GS &amp; warmtenet'!B58),0,'Eigen informatie GS &amp; warmtenet'!B58)</f>
        <v>0</v>
      </c>
      <c r="D5" s="30">
        <f>SUM(D6:D12)</f>
        <v>95284.527133084877</v>
      </c>
      <c r="E5" s="17">
        <f>SUM(E6:E12)</f>
        <v>520.59069131425213</v>
      </c>
      <c r="F5" s="17">
        <f>SUM(F6:F12)</f>
        <v>7665.256540186796</v>
      </c>
      <c r="G5" s="18"/>
      <c r="H5" s="17"/>
      <c r="I5" s="17"/>
      <c r="J5" s="17">
        <f>SUM(J6:J12)</f>
        <v>0</v>
      </c>
      <c r="K5" s="17"/>
      <c r="L5" s="17"/>
      <c r="M5" s="17"/>
      <c r="N5" s="17">
        <f>SUM(N6:N12)</f>
        <v>4646.5841028306795</v>
      </c>
      <c r="O5" s="17">
        <f>B38*B39*B40</f>
        <v>4.6900000000000004</v>
      </c>
      <c r="P5" s="17">
        <f>B46*B47*B48/1000-B46*B47*B48/1000/B49</f>
        <v>19.066666666666666</v>
      </c>
      <c r="R5" s="32"/>
    </row>
    <row r="6" spans="1:18">
      <c r="A6" s="32" t="s">
        <v>54</v>
      </c>
      <c r="B6" s="37">
        <f>B26</f>
        <v>9890.2150000000001</v>
      </c>
      <c r="C6" s="33"/>
      <c r="D6" s="37">
        <f>IF(ISERROR(TER_kantoor_gas_kWh/1000),0,TER_kantoor_gas_kWh/1000)*0.902</f>
        <v>60621.993252535933</v>
      </c>
      <c r="E6" s="33">
        <f>$C$26*'E Balans VL '!I12/100/3.6*1000000</f>
        <v>28.653403955295783</v>
      </c>
      <c r="F6" s="33">
        <f>$C$26*('E Balans VL '!L12+'E Balans VL '!N12)/100/3.6*1000000</f>
        <v>1119.3544396693815</v>
      </c>
      <c r="G6" s="34"/>
      <c r="H6" s="33"/>
      <c r="I6" s="33"/>
      <c r="J6" s="33">
        <f>$C$26*('E Balans VL '!D12+'E Balans VL '!E12)/100/3.6*1000000</f>
        <v>0</v>
      </c>
      <c r="K6" s="33"/>
      <c r="L6" s="33"/>
      <c r="M6" s="33"/>
      <c r="N6" s="33">
        <f>$C$26*'E Balans VL '!Y12/100/3.6*1000000</f>
        <v>98.993764714212972</v>
      </c>
      <c r="O6" s="33"/>
      <c r="P6" s="33"/>
      <c r="R6" s="32"/>
    </row>
    <row r="7" spans="1:18">
      <c r="A7" s="32" t="s">
        <v>53</v>
      </c>
      <c r="B7" s="37">
        <f t="shared" ref="B7:B12" si="0">B27</f>
        <v>5225.5529999999999</v>
      </c>
      <c r="C7" s="33"/>
      <c r="D7" s="37">
        <f>IF(ISERROR(TER_horeca_gas_kWh/1000),0,TER_horeca_gas_kWh/1000)*0.902</f>
        <v>5552.9938793207966</v>
      </c>
      <c r="E7" s="33">
        <f>$C$27*'E Balans VL '!I9/100/3.6*1000000</f>
        <v>219.35411503346813</v>
      </c>
      <c r="F7" s="33">
        <f>$C$27*('E Balans VL '!L9+'E Balans VL '!N9)/100/3.6*1000000</f>
        <v>1122.8172221069151</v>
      </c>
      <c r="G7" s="34"/>
      <c r="H7" s="33"/>
      <c r="I7" s="33"/>
      <c r="J7" s="33">
        <f>$C$27*('E Balans VL '!D9+'E Balans VL '!E9)/100/3.6*1000000</f>
        <v>0</v>
      </c>
      <c r="K7" s="33"/>
      <c r="L7" s="33"/>
      <c r="M7" s="33"/>
      <c r="N7" s="33">
        <f>$C$27*'E Balans VL '!Y9/100/3.6*1000000</f>
        <v>1.3465793089811737</v>
      </c>
      <c r="O7" s="33"/>
      <c r="P7" s="33"/>
      <c r="R7" s="32"/>
    </row>
    <row r="8" spans="1:18">
      <c r="A8" s="6" t="s">
        <v>52</v>
      </c>
      <c r="B8" s="37">
        <f t="shared" si="0"/>
        <v>21102.2</v>
      </c>
      <c r="C8" s="33"/>
      <c r="D8" s="37">
        <f>IF(ISERROR(TER_handel_gas_kWh/1000),0,TER_handel_gas_kWh/1000)*0.902</f>
        <v>9272.2010519247033</v>
      </c>
      <c r="E8" s="33">
        <f>$C$28*'E Balans VL '!I13/100/3.6*1000000</f>
        <v>226.65519086180765</v>
      </c>
      <c r="F8" s="33">
        <f>$C$28*('E Balans VL '!L13+'E Balans VL '!N13)/100/3.6*1000000</f>
        <v>2731.854048375299</v>
      </c>
      <c r="G8" s="34"/>
      <c r="H8" s="33"/>
      <c r="I8" s="33"/>
      <c r="J8" s="33">
        <f>$C$28*('E Balans VL '!D13+'E Balans VL '!E13)/100/3.6*1000000</f>
        <v>0</v>
      </c>
      <c r="K8" s="33"/>
      <c r="L8" s="33"/>
      <c r="M8" s="33"/>
      <c r="N8" s="33">
        <f>$C$28*'E Balans VL '!Y13/100/3.6*1000000</f>
        <v>171.18219863021841</v>
      </c>
      <c r="O8" s="33"/>
      <c r="P8" s="33"/>
      <c r="R8" s="32"/>
    </row>
    <row r="9" spans="1:18">
      <c r="A9" s="32" t="s">
        <v>51</v>
      </c>
      <c r="B9" s="37">
        <f t="shared" si="0"/>
        <v>4704.4769999999999</v>
      </c>
      <c r="C9" s="33"/>
      <c r="D9" s="37">
        <f>IF(ISERROR(TER_gezond_gas_kWh/1000),0,TER_gezond_gas_kWh/1000)*0.902</f>
        <v>5605.1969295625422</v>
      </c>
      <c r="E9" s="33">
        <f>$C$29*'E Balans VL '!I10/100/3.6*1000000</f>
        <v>3.7450679694205271</v>
      </c>
      <c r="F9" s="33">
        <f>$C$29*('E Balans VL '!L10+'E Balans VL '!N10)/100/3.6*1000000</f>
        <v>571.89716516615999</v>
      </c>
      <c r="G9" s="34"/>
      <c r="H9" s="33"/>
      <c r="I9" s="33"/>
      <c r="J9" s="33">
        <f>$C$29*('E Balans VL '!D10+'E Balans VL '!E10)/100/3.6*1000000</f>
        <v>0</v>
      </c>
      <c r="K9" s="33"/>
      <c r="L9" s="33"/>
      <c r="M9" s="33"/>
      <c r="N9" s="33">
        <f>$C$29*'E Balans VL '!Y10/100/3.6*1000000</f>
        <v>38.001518836709934</v>
      </c>
      <c r="O9" s="33"/>
      <c r="P9" s="33"/>
      <c r="R9" s="32"/>
    </row>
    <row r="10" spans="1:18">
      <c r="A10" s="32" t="s">
        <v>50</v>
      </c>
      <c r="B10" s="37">
        <f t="shared" si="0"/>
        <v>5875.8280000000004</v>
      </c>
      <c r="C10" s="33"/>
      <c r="D10" s="37">
        <f>IF(ISERROR(TER_ander_gas_kWh/1000),0,TER_ander_gas_kWh/1000)*0.902</f>
        <v>6816.4083071928953</v>
      </c>
      <c r="E10" s="33">
        <f>$C$30*'E Balans VL '!I14/100/3.6*1000000</f>
        <v>20.136771232435141</v>
      </c>
      <c r="F10" s="33">
        <f>$C$30*('E Balans VL '!L14+'E Balans VL '!N14)/100/3.6*1000000</f>
        <v>1312.4212096758235</v>
      </c>
      <c r="G10" s="34"/>
      <c r="H10" s="33"/>
      <c r="I10" s="33"/>
      <c r="J10" s="33">
        <f>$C$30*('E Balans VL '!D14+'E Balans VL '!E14)/100/3.6*1000000</f>
        <v>0</v>
      </c>
      <c r="K10" s="33"/>
      <c r="L10" s="33"/>
      <c r="M10" s="33"/>
      <c r="N10" s="33">
        <f>$C$30*'E Balans VL '!Y14/100/3.6*1000000</f>
        <v>4138.9653422209158</v>
      </c>
      <c r="O10" s="33"/>
      <c r="P10" s="33"/>
      <c r="R10" s="32"/>
    </row>
    <row r="11" spans="1:18">
      <c r="A11" s="32" t="s">
        <v>55</v>
      </c>
      <c r="B11" s="37">
        <f t="shared" si="0"/>
        <v>1786.3019999999999</v>
      </c>
      <c r="C11" s="33"/>
      <c r="D11" s="37">
        <f>IF(ISERROR(TER_onderwijs_gas_kWh/1000),0,TER_onderwijs_gas_kWh/1000)*0.902</f>
        <v>4444.5332087571469</v>
      </c>
      <c r="E11" s="33">
        <f>$C$31*'E Balans VL '!I11/100/3.6*1000000</f>
        <v>1.2348155588280518</v>
      </c>
      <c r="F11" s="33">
        <f>$C$31*('E Balans VL '!L11+'E Balans VL '!N11)/100/3.6*1000000</f>
        <v>467.60197504762283</v>
      </c>
      <c r="G11" s="34"/>
      <c r="H11" s="33"/>
      <c r="I11" s="33"/>
      <c r="J11" s="33">
        <f>$C$31*('E Balans VL '!D11+'E Balans VL '!E11)/100/3.6*1000000</f>
        <v>0</v>
      </c>
      <c r="K11" s="33"/>
      <c r="L11" s="33"/>
      <c r="M11" s="33"/>
      <c r="N11" s="33">
        <f>$C$31*'E Balans VL '!Y11/100/3.6*1000000</f>
        <v>1.7781114956642325</v>
      </c>
      <c r="O11" s="33"/>
      <c r="P11" s="33"/>
      <c r="R11" s="32"/>
    </row>
    <row r="12" spans="1:18">
      <c r="A12" s="32" t="s">
        <v>260</v>
      </c>
      <c r="B12" s="37">
        <f t="shared" si="0"/>
        <v>2301.8449999999998</v>
      </c>
      <c r="C12" s="33"/>
      <c r="D12" s="37">
        <f>IF(ISERROR(TER_rest_gas_kWh/1000),0,TER_rest_gas_kWh/1000)*0.902</f>
        <v>2971.2005037908657</v>
      </c>
      <c r="E12" s="33">
        <f>$C$32*'E Balans VL '!I8/100/3.6*1000000</f>
        <v>20.811326702996812</v>
      </c>
      <c r="F12" s="33">
        <f>$C$32*('E Balans VL '!L8+'E Balans VL '!N8)/100/3.6*1000000</f>
        <v>339.31048014559394</v>
      </c>
      <c r="G12" s="34"/>
      <c r="H12" s="33"/>
      <c r="I12" s="33"/>
      <c r="J12" s="33">
        <f>$C$32*('E Balans VL '!D8+'E Balans VL '!E8)/100/3.6*1000000</f>
        <v>0</v>
      </c>
      <c r="K12" s="33"/>
      <c r="L12" s="33"/>
      <c r="M12" s="33"/>
      <c r="N12" s="33">
        <f>$C$32*'E Balans VL '!Y8/100/3.6*1000000</f>
        <v>196.31658762397703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50886.420000000006</v>
      </c>
      <c r="C16" s="21">
        <f t="shared" ca="1" si="1"/>
        <v>0</v>
      </c>
      <c r="D16" s="21">
        <f t="shared" ca="1" si="1"/>
        <v>95284.527133084877</v>
      </c>
      <c r="E16" s="21">
        <f t="shared" si="1"/>
        <v>520.59069131425213</v>
      </c>
      <c r="F16" s="21">
        <f t="shared" ca="1" si="1"/>
        <v>7665.256540186796</v>
      </c>
      <c r="G16" s="21">
        <f t="shared" si="1"/>
        <v>0</v>
      </c>
      <c r="H16" s="21">
        <f t="shared" si="1"/>
        <v>0</v>
      </c>
      <c r="I16" s="21">
        <f t="shared" si="1"/>
        <v>0</v>
      </c>
      <c r="J16" s="21">
        <f t="shared" si="1"/>
        <v>0</v>
      </c>
      <c r="K16" s="21">
        <f t="shared" si="1"/>
        <v>0</v>
      </c>
      <c r="L16" s="21">
        <f t="shared" ca="1" si="1"/>
        <v>0</v>
      </c>
      <c r="M16" s="21">
        <f t="shared" si="1"/>
        <v>0</v>
      </c>
      <c r="N16" s="21">
        <f t="shared" ca="1" si="1"/>
        <v>4646.5841028306795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0.20820724041366653</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10594.921082730811</v>
      </c>
      <c r="C20" s="23">
        <f t="shared" ref="C20:P20" ca="1" si="2">C16*C18</f>
        <v>0</v>
      </c>
      <c r="D20" s="23">
        <f t="shared" ca="1" si="2"/>
        <v>19247.474480883146</v>
      </c>
      <c r="E20" s="23">
        <f t="shared" si="2"/>
        <v>118.17408692833524</v>
      </c>
      <c r="F20" s="23">
        <f t="shared" ca="1" si="2"/>
        <v>2046.6234962298747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9890.2150000000001</v>
      </c>
      <c r="C26" s="39">
        <f>IF(ISERROR(B26*3.6/1000000/'E Balans VL '!Z12*100),0,B26*3.6/1000000/'E Balans VL '!Z12*100)</f>
        <v>0.21725000670853264</v>
      </c>
      <c r="D26" s="237" t="s">
        <v>692</v>
      </c>
      <c r="F26" s="6"/>
    </row>
    <row r="27" spans="1:18">
      <c r="A27" s="231" t="s">
        <v>53</v>
      </c>
      <c r="B27" s="33">
        <f>IF(ISERROR(TER_horeca_ele_kWh/1000),0,TER_horeca_ele_kWh/1000)</f>
        <v>5225.5529999999999</v>
      </c>
      <c r="C27" s="39">
        <f>IF(ISERROR(B27*3.6/1000000/'E Balans VL '!Z9*100),0,B27*3.6/1000000/'E Balans VL '!Z9*100)</f>
        <v>0.41992527247753048</v>
      </c>
      <c r="D27" s="237" t="s">
        <v>692</v>
      </c>
      <c r="F27" s="6"/>
    </row>
    <row r="28" spans="1:18">
      <c r="A28" s="171" t="s">
        <v>52</v>
      </c>
      <c r="B28" s="33">
        <f>IF(ISERROR(TER_handel_ele_kWh/1000),0,TER_handel_ele_kWh/1000)</f>
        <v>21102.2</v>
      </c>
      <c r="C28" s="39">
        <f>IF(ISERROR(B28*3.6/1000000/'E Balans VL '!Z13*100),0,B28*3.6/1000000/'E Balans VL '!Z13*100)</f>
        <v>0.62397731169354198</v>
      </c>
      <c r="D28" s="237" t="s">
        <v>692</v>
      </c>
      <c r="F28" s="6"/>
    </row>
    <row r="29" spans="1:18">
      <c r="A29" s="231" t="s">
        <v>51</v>
      </c>
      <c r="B29" s="33">
        <f>IF(ISERROR(TER_gezond_ele_kWh/1000),0,TER_gezond_ele_kWh/1000)</f>
        <v>4704.4769999999999</v>
      </c>
      <c r="C29" s="39">
        <f>IF(ISERROR(B29*3.6/1000000/'E Balans VL '!Z10*100),0,B29*3.6/1000000/'E Balans VL '!Z10*100)</f>
        <v>0.53007309901048816</v>
      </c>
      <c r="D29" s="237" t="s">
        <v>692</v>
      </c>
      <c r="F29" s="6"/>
    </row>
    <row r="30" spans="1:18">
      <c r="A30" s="231" t="s">
        <v>50</v>
      </c>
      <c r="B30" s="33">
        <f>IF(ISERROR(TER_ander_ele_kWh/1000),0,TER_ander_ele_kWh/1000)</f>
        <v>5875.8280000000004</v>
      </c>
      <c r="C30" s="39">
        <f>IF(ISERROR(B30*3.6/1000000/'E Balans VL '!Z14*100),0,B30*3.6/1000000/'E Balans VL '!Z14*100)</f>
        <v>0.44437882736573459</v>
      </c>
      <c r="D30" s="237" t="s">
        <v>692</v>
      </c>
      <c r="F30" s="6"/>
    </row>
    <row r="31" spans="1:18">
      <c r="A31" s="231" t="s">
        <v>55</v>
      </c>
      <c r="B31" s="33">
        <f>IF(ISERROR(TER_onderwijs_ele_kWh/1000),0,TER_onderwijs_ele_kWh/1000)</f>
        <v>1786.3019999999999</v>
      </c>
      <c r="C31" s="39">
        <f>IF(ISERROR(B31*3.6/1000000/'E Balans VL '!Z11*100),0,B31*3.6/1000000/'E Balans VL '!Z11*100)</f>
        <v>0.37079482797927532</v>
      </c>
      <c r="D31" s="237" t="s">
        <v>692</v>
      </c>
    </row>
    <row r="32" spans="1:18">
      <c r="A32" s="231" t="s">
        <v>260</v>
      </c>
      <c r="B32" s="33">
        <f>IF(ISERROR(TER_rest_ele_kWh/1000),0,TER_rest_ele_kWh/1000)</f>
        <v>2301.8449999999998</v>
      </c>
      <c r="C32" s="39">
        <f>IF(ISERROR(B32*3.6/1000000/'E Balans VL '!Z8*100),0,B32*3.6/1000000/'E Balans VL '!Z8*100)</f>
        <v>1.9391689995443613E-2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158434.829</v>
      </c>
      <c r="C5" s="17">
        <f>IF(ISERROR('Eigen informatie GS &amp; warmtenet'!B59),0,'Eigen informatie GS &amp; warmtenet'!B59)</f>
        <v>0</v>
      </c>
      <c r="D5" s="30">
        <f>SUM(D6:D15)</f>
        <v>186051.67863067432</v>
      </c>
      <c r="E5" s="17">
        <f>SUM(E6:E15)</f>
        <v>9247.5485488733284</v>
      </c>
      <c r="F5" s="17">
        <f>SUM(F6:F15)</f>
        <v>52782.827390924416</v>
      </c>
      <c r="G5" s="18"/>
      <c r="H5" s="17"/>
      <c r="I5" s="17"/>
      <c r="J5" s="17">
        <f>SUM(J6:J15)</f>
        <v>686.42087478953158</v>
      </c>
      <c r="K5" s="17"/>
      <c r="L5" s="17"/>
      <c r="M5" s="17"/>
      <c r="N5" s="17">
        <f>SUM(N6:N15)</f>
        <v>30291.12271180228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3313.8</v>
      </c>
      <c r="C8" s="33"/>
      <c r="D8" s="37">
        <f>IF( ISERROR(IND_metaal_Gas_kWH/1000),0,IND_metaal_Gas_kWH/1000)*0.902</f>
        <v>957.4905103510481</v>
      </c>
      <c r="E8" s="33">
        <f>C30*'E Balans VL '!I18/100/3.6*1000000</f>
        <v>82.932815948472069</v>
      </c>
      <c r="F8" s="33">
        <f>C30*'E Balans VL '!L18/100/3.6*1000000+C30*'E Balans VL '!N18/100/3.6*1000000</f>
        <v>1038.5614036889228</v>
      </c>
      <c r="G8" s="34"/>
      <c r="H8" s="33"/>
      <c r="I8" s="33"/>
      <c r="J8" s="40">
        <f>C30*'E Balans VL '!D18/100/3.6*1000000+C30*'E Balans VL '!E18/100/3.6*1000000</f>
        <v>0</v>
      </c>
      <c r="K8" s="33"/>
      <c r="L8" s="33"/>
      <c r="M8" s="33"/>
      <c r="N8" s="33">
        <f>C30*'E Balans VL '!Y18/100/3.6*1000000</f>
        <v>83.251256060931098</v>
      </c>
      <c r="O8" s="33"/>
      <c r="P8" s="33"/>
      <c r="R8" s="32"/>
    </row>
    <row r="9" spans="1:18">
      <c r="A9" s="6" t="s">
        <v>33</v>
      </c>
      <c r="B9" s="37">
        <f t="shared" si="0"/>
        <v>11894.448</v>
      </c>
      <c r="C9" s="33"/>
      <c r="D9" s="37">
        <f>IF( ISERROR(IND_andere_gas_kWh/1000),0,IND_andere_gas_kWh/1000)*0.902</f>
        <v>7186.0330580773289</v>
      </c>
      <c r="E9" s="33">
        <f>C31*'E Balans VL '!I19/100/3.6*1000000</f>
        <v>3270.4853485540179</v>
      </c>
      <c r="F9" s="33">
        <f>C31*'E Balans VL '!L19/100/3.6*1000000+C31*'E Balans VL '!N19/100/3.6*1000000</f>
        <v>9374.8948065581644</v>
      </c>
      <c r="G9" s="34"/>
      <c r="H9" s="33"/>
      <c r="I9" s="33"/>
      <c r="J9" s="40">
        <f>C31*'E Balans VL '!D19/100/3.6*1000000+C31*'E Balans VL '!E19/100/3.6*1000000</f>
        <v>0</v>
      </c>
      <c r="K9" s="33"/>
      <c r="L9" s="33"/>
      <c r="M9" s="33"/>
      <c r="N9" s="33">
        <f>C31*'E Balans VL '!Y19/100/3.6*1000000</f>
        <v>3850.546778489253</v>
      </c>
      <c r="O9" s="33"/>
      <c r="P9" s="33"/>
      <c r="R9" s="32"/>
    </row>
    <row r="10" spans="1:18">
      <c r="A10" s="6" t="s">
        <v>41</v>
      </c>
      <c r="B10" s="37">
        <f t="shared" si="0"/>
        <v>8355.4159999999993</v>
      </c>
      <c r="C10" s="33"/>
      <c r="D10" s="37">
        <f>IF( ISERROR(IND_voed_gas_kWh/1000),0,IND_voed_gas_kWh/1000)*0.902</f>
        <v>17007.768804753341</v>
      </c>
      <c r="E10" s="33">
        <f>C32*'E Balans VL '!I20/100/3.6*1000000</f>
        <v>85.17886309506062</v>
      </c>
      <c r="F10" s="33">
        <f>C32*'E Balans VL '!L20/100/3.6*1000000+C32*'E Balans VL '!N20/100/3.6*1000000</f>
        <v>15783.328565917442</v>
      </c>
      <c r="G10" s="34"/>
      <c r="H10" s="33"/>
      <c r="I10" s="33"/>
      <c r="J10" s="40">
        <f>C32*'E Balans VL '!D20/100/3.6*1000000+C32*'E Balans VL '!E20/100/3.6*1000000</f>
        <v>199.97244392492672</v>
      </c>
      <c r="K10" s="33"/>
      <c r="L10" s="33"/>
      <c r="M10" s="33"/>
      <c r="N10" s="33">
        <f>C32*'E Balans VL '!Y20/100/3.6*1000000</f>
        <v>4404.2666579071038</v>
      </c>
      <c r="O10" s="33"/>
      <c r="P10" s="33"/>
      <c r="R10" s="32"/>
    </row>
    <row r="11" spans="1:18">
      <c r="A11" s="6" t="s">
        <v>40</v>
      </c>
      <c r="B11" s="37">
        <f t="shared" si="0"/>
        <v>12083.986999999999</v>
      </c>
      <c r="C11" s="33"/>
      <c r="D11" s="37">
        <f>IF( ISERROR(IND_textiel_gas_kWh/1000),0,IND_textiel_gas_kWh/1000)*0.902</f>
        <v>0</v>
      </c>
      <c r="E11" s="33">
        <f>C33*'E Balans VL '!I21/100/3.6*1000000</f>
        <v>32.028477247939641</v>
      </c>
      <c r="F11" s="33">
        <f>C33*'E Balans VL '!L21/100/3.6*1000000+C33*'E Balans VL '!N21/100/3.6*1000000</f>
        <v>539.68332498080053</v>
      </c>
      <c r="G11" s="34"/>
      <c r="H11" s="33"/>
      <c r="I11" s="33"/>
      <c r="J11" s="40">
        <f>C33*'E Balans VL '!D21/100/3.6*1000000+C33*'E Balans VL '!E21/100/3.6*1000000</f>
        <v>0</v>
      </c>
      <c r="K11" s="33"/>
      <c r="L11" s="33"/>
      <c r="M11" s="33"/>
      <c r="N11" s="33">
        <f>C33*'E Balans VL '!Y21/100/3.6*1000000</f>
        <v>113.88293933222765</v>
      </c>
      <c r="O11" s="33"/>
      <c r="P11" s="33"/>
      <c r="R11" s="32"/>
    </row>
    <row r="12" spans="1:18">
      <c r="A12" s="6" t="s">
        <v>37</v>
      </c>
      <c r="B12" s="37">
        <f t="shared" si="0"/>
        <v>8346.5630000000001</v>
      </c>
      <c r="C12" s="33"/>
      <c r="D12" s="37">
        <f>IF( ISERROR(IND_min_gas_kWh/1000),0,IND_min_gas_kWh/1000)*0.902</f>
        <v>0</v>
      </c>
      <c r="E12" s="33">
        <f>C34*'E Balans VL '!I22/100/3.6*1000000</f>
        <v>25.277963734747566</v>
      </c>
      <c r="F12" s="33">
        <f>C34*'E Balans VL '!L22/100/3.6*1000000+C34*'E Balans VL '!N22/100/3.6*1000000</f>
        <v>260.83726959156377</v>
      </c>
      <c r="G12" s="34"/>
      <c r="H12" s="33"/>
      <c r="I12" s="33"/>
      <c r="J12" s="40">
        <f>C34*'E Balans VL '!D22/100/3.6*1000000+C34*'E Balans VL '!E22/100/3.6*1000000</f>
        <v>12.376100087489135</v>
      </c>
      <c r="K12" s="33"/>
      <c r="L12" s="33"/>
      <c r="M12" s="33"/>
      <c r="N12" s="33">
        <f>C34*'E Balans VL '!Y22/100/3.6*1000000</f>
        <v>0</v>
      </c>
      <c r="O12" s="33"/>
      <c r="P12" s="33"/>
      <c r="R12" s="32"/>
    </row>
    <row r="13" spans="1:18">
      <c r="A13" s="6" t="s">
        <v>39</v>
      </c>
      <c r="B13" s="37">
        <f t="shared" si="0"/>
        <v>1440.615</v>
      </c>
      <c r="C13" s="33"/>
      <c r="D13" s="37">
        <f>IF( ISERROR(IND_papier_gas_kWh/1000),0,IND_papier_gas_kWh/1000)*0.902</f>
        <v>379.13717047233638</v>
      </c>
      <c r="E13" s="33">
        <f>C35*'E Balans VL '!I23/100/3.6*1000000</f>
        <v>2.9836109041710213</v>
      </c>
      <c r="F13" s="33">
        <f>C35*'E Balans VL '!L23/100/3.6*1000000+C35*'E Balans VL '!N23/100/3.6*1000000</f>
        <v>28.570483883088926</v>
      </c>
      <c r="G13" s="34"/>
      <c r="H13" s="33"/>
      <c r="I13" s="33"/>
      <c r="J13" s="40">
        <f>C35*'E Balans VL '!D23/100/3.6*1000000+C35*'E Balans VL '!E23/100/3.6*1000000</f>
        <v>0</v>
      </c>
      <c r="K13" s="33"/>
      <c r="L13" s="33"/>
      <c r="M13" s="33"/>
      <c r="N13" s="33">
        <f>C35*'E Balans VL '!Y23/100/3.6*1000000</f>
        <v>608.29661348286606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113000</v>
      </c>
      <c r="C15" s="33"/>
      <c r="D15" s="37">
        <f>IF( ISERROR(IND_rest_gas_kWh/1000),0,IND_rest_gas_kWh/1000)*0.902</f>
        <v>160521.24908702026</v>
      </c>
      <c r="E15" s="33">
        <f>C37*'E Balans VL '!I15/100/3.6*1000000</f>
        <v>5748.6614693889187</v>
      </c>
      <c r="F15" s="33">
        <f>C37*'E Balans VL '!L15/100/3.6*1000000+C37*'E Balans VL '!N15/100/3.6*1000000</f>
        <v>25756.95153630443</v>
      </c>
      <c r="G15" s="34"/>
      <c r="H15" s="33"/>
      <c r="I15" s="33"/>
      <c r="J15" s="40">
        <f>C37*'E Balans VL '!D15/100/3.6*1000000+C37*'E Balans VL '!E15/100/3.6*1000000</f>
        <v>474.07233077711578</v>
      </c>
      <c r="K15" s="33"/>
      <c r="L15" s="33"/>
      <c r="M15" s="33"/>
      <c r="N15" s="33">
        <f>C37*'E Balans VL '!Y15/100/3.6*1000000</f>
        <v>21230.878466529895</v>
      </c>
      <c r="O15" s="33"/>
      <c r="P15" s="33"/>
      <c r="R15" s="32"/>
    </row>
    <row r="16" spans="1:18">
      <c r="A16" s="16" t="s">
        <v>494</v>
      </c>
      <c r="B16" s="247">
        <f>'lokale energieproductie'!N89+'lokale energieproductie'!N58</f>
        <v>3937.5</v>
      </c>
      <c r="C16" s="247">
        <f>'lokale energieproductie'!O89+'lokale energieproductie'!O58</f>
        <v>5625</v>
      </c>
      <c r="D16" s="310">
        <f>('lokale energieproductie'!P58+'lokale energieproductie'!P89)*(-1)</f>
        <v>-11250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162372.329</v>
      </c>
      <c r="C18" s="21">
        <f>C5+C16</f>
        <v>5625</v>
      </c>
      <c r="D18" s="21">
        <f>MAX((D5+D16),0)</f>
        <v>174801.67863067432</v>
      </c>
      <c r="E18" s="21">
        <f>MAX((E5+E16),0)</f>
        <v>9247.5485488733284</v>
      </c>
      <c r="F18" s="21">
        <f>MAX((F5+F16),0)</f>
        <v>52782.827390924416</v>
      </c>
      <c r="G18" s="21"/>
      <c r="H18" s="21"/>
      <c r="I18" s="21"/>
      <c r="J18" s="21">
        <f>MAX((J5+J16),0)</f>
        <v>686.42087478953158</v>
      </c>
      <c r="K18" s="21"/>
      <c r="L18" s="21">
        <f>MAX((L5+L16),0)</f>
        <v>0</v>
      </c>
      <c r="M18" s="21"/>
      <c r="N18" s="21">
        <f>MAX((N5+N16),0)</f>
        <v>30291.12271180228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0.20820724041366653</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33807.094540629958</v>
      </c>
      <c r="C22" s="23">
        <f ca="1">C18*C20</f>
        <v>1336.3501804094599</v>
      </c>
      <c r="D22" s="23">
        <f>D18*D20</f>
        <v>35309.939083396217</v>
      </c>
      <c r="E22" s="23">
        <f>E18*E20</f>
        <v>2099.1935205942455</v>
      </c>
      <c r="F22" s="23">
        <f>F18*F20</f>
        <v>14093.014913376819</v>
      </c>
      <c r="G22" s="23"/>
      <c r="H22" s="23"/>
      <c r="I22" s="23"/>
      <c r="J22" s="23">
        <f>J18*J20</f>
        <v>242.99298967549416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3313.8</v>
      </c>
      <c r="C30" s="39">
        <f>IF(ISERROR(B30*3.6/1000000/'E Balans VL '!Z18*100),0,B30*3.6/1000000/'E Balans VL '!Z18*100)</f>
        <v>0.46382156639500627</v>
      </c>
      <c r="D30" s="237" t="s">
        <v>692</v>
      </c>
    </row>
    <row r="31" spans="1:18">
      <c r="A31" s="6" t="s">
        <v>33</v>
      </c>
      <c r="B31" s="37">
        <f>IF( ISERROR(IND_ander_ele_kWh/1000),0,IND_ander_ele_kWh/1000)</f>
        <v>11894.448</v>
      </c>
      <c r="C31" s="39">
        <f>IF(ISERROR(B31*3.6/1000000/'E Balans VL '!Z19*100),0,B31*3.6/1000000/'E Balans VL '!Z19*100)</f>
        <v>0.52061805940639438</v>
      </c>
      <c r="D31" s="237" t="s">
        <v>692</v>
      </c>
    </row>
    <row r="32" spans="1:18">
      <c r="A32" s="171" t="s">
        <v>41</v>
      </c>
      <c r="B32" s="37">
        <f>IF( ISERROR(IND_voed_ele_kWh/1000),0,IND_voed_ele_kWh/1000)</f>
        <v>8355.4159999999993</v>
      </c>
      <c r="C32" s="39">
        <f>IF(ISERROR(B32*3.6/1000000/'E Balans VL '!Z20*100),0,B32*3.6/1000000/'E Balans VL '!Z20*100)</f>
        <v>2.0685235319209649</v>
      </c>
      <c r="D32" s="237" t="s">
        <v>692</v>
      </c>
    </row>
    <row r="33" spans="1:5">
      <c r="A33" s="171" t="s">
        <v>40</v>
      </c>
      <c r="B33" s="37">
        <f>IF( ISERROR(IND_textiel_ele_kWh/1000),0,IND_textiel_ele_kWh/1000)</f>
        <v>12083.986999999999</v>
      </c>
      <c r="C33" s="39">
        <f>IF(ISERROR(B33*3.6/1000000/'E Balans VL '!Z21*100),0,B33*3.6/1000000/'E Balans VL '!Z21*100)</f>
        <v>1.3616524735078981</v>
      </c>
      <c r="D33" s="237" t="s">
        <v>692</v>
      </c>
    </row>
    <row r="34" spans="1:5">
      <c r="A34" s="171" t="s">
        <v>37</v>
      </c>
      <c r="B34" s="37">
        <f>IF( ISERROR(IND_min_ele_kWh/1000),0,IND_min_ele_kWh/1000)</f>
        <v>8346.5630000000001</v>
      </c>
      <c r="C34" s="39">
        <f>IF(ISERROR(B34*3.6/1000000/'E Balans VL '!Z22*100),0,B34*3.6/1000000/'E Balans VL '!Z22*100)</f>
        <v>0.23684140579307411</v>
      </c>
      <c r="D34" s="237" t="s">
        <v>692</v>
      </c>
    </row>
    <row r="35" spans="1:5">
      <c r="A35" s="171" t="s">
        <v>39</v>
      </c>
      <c r="B35" s="37">
        <f>IF( ISERROR(IND_papier_ele_kWh/1000),0,IND_papier_ele_kWh/1000)</f>
        <v>1440.615</v>
      </c>
      <c r="C35" s="39">
        <f>IF(ISERROR(B35*3.6/1000000/'E Balans VL '!Z22*100),0,B35*3.6/1000000/'E Balans VL '!Z22*100)</f>
        <v>4.08787763066773E-2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113000</v>
      </c>
      <c r="C37" s="39">
        <f>IF(ISERROR(B37*3.6/1000000/'E Balans VL '!Z15*100),0,B37*3.6/1000000/'E Balans VL '!Z15*100)</f>
        <v>0.83787565358132832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1941.2584999999999</v>
      </c>
      <c r="C5" s="17">
        <f>'Eigen informatie GS &amp; warmtenet'!B60</f>
        <v>0</v>
      </c>
      <c r="D5" s="30">
        <f>IF(ISERROR(SUM(LB_lb_gas_kWh,LB_rest_gas_kWh,onbekend_gas_kWh)/1000),0,SUM(LB_lb_gas_kWh,LB_rest_gas_kWh,onbekend_gas_kWh)/1000)*0.902</f>
        <v>13374.127486516843</v>
      </c>
      <c r="E5" s="17">
        <f>B17*'E Balans VL '!I25/3.6*1000000/100</f>
        <v>17.980749300799108</v>
      </c>
      <c r="F5" s="17">
        <f>B17*('E Balans VL '!L25/3.6*1000000+'E Balans VL '!N25/3.6*1000000)/100</f>
        <v>4925.3426238647444</v>
      </c>
      <c r="G5" s="18"/>
      <c r="H5" s="17"/>
      <c r="I5" s="17"/>
      <c r="J5" s="17">
        <f>('E Balans VL '!D25+'E Balans VL '!E25)/3.6*1000000*landbouw!B17/100</f>
        <v>297.61659255808996</v>
      </c>
      <c r="K5" s="17"/>
      <c r="L5" s="17">
        <f>L6*(-1)</f>
        <v>0</v>
      </c>
      <c r="M5" s="17"/>
      <c r="N5" s="17">
        <f>N6*(-1)</f>
        <v>0</v>
      </c>
      <c r="O5" s="17"/>
      <c r="P5" s="17"/>
      <c r="R5" s="32"/>
    </row>
    <row r="6" spans="1:18">
      <c r="A6" s="16" t="s">
        <v>494</v>
      </c>
      <c r="B6" s="17" t="s">
        <v>211</v>
      </c>
      <c r="C6" s="17">
        <f>'lokale energieproductie'!O91+'lokale energieproductie'!O60</f>
        <v>79.071428571428584</v>
      </c>
      <c r="D6" s="310">
        <f>('lokale energieproductie'!P60+'lokale energieproductie'!P91)*(-1)</f>
        <v>-128.14285714285717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1941.2584999999999</v>
      </c>
      <c r="C8" s="21">
        <f>C5+C6</f>
        <v>79.071428571428584</v>
      </c>
      <c r="D8" s="21">
        <f>MAX((D5+D6),0)</f>
        <v>13245.984629373987</v>
      </c>
      <c r="E8" s="21">
        <f>MAX((E5+E6),0)</f>
        <v>17.980749300799108</v>
      </c>
      <c r="F8" s="21">
        <f>MAX((F5+F6),0)</f>
        <v>4925.3426238647444</v>
      </c>
      <c r="G8" s="21"/>
      <c r="H8" s="21"/>
      <c r="I8" s="21"/>
      <c r="J8" s="21">
        <f>MAX((J5+J6),0)</f>
        <v>297.61659255808996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0.20820724041366653</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404.18407521457368</v>
      </c>
      <c r="C12" s="23">
        <f ca="1">C8*C10</f>
        <v>18.78526539318441</v>
      </c>
      <c r="D12" s="23">
        <f>D8*D10</f>
        <v>2675.6888951335454</v>
      </c>
      <c r="E12" s="23">
        <f>E8*E10</f>
        <v>4.0816300912813972</v>
      </c>
      <c r="F12" s="23">
        <f>F8*F10</f>
        <v>1315.0664805718868</v>
      </c>
      <c r="G12" s="23"/>
      <c r="H12" s="23"/>
      <c r="I12" s="23"/>
      <c r="J12" s="23">
        <f>J8*J10</f>
        <v>105.35627376556384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0.27600579690502203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375.77369288907931</v>
      </c>
      <c r="C26" s="247">
        <f>B26*'GWP N2O_CH4'!B5</f>
        <v>7891.247550670666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98.54216239701708</v>
      </c>
      <c r="C27" s="247">
        <f>B27*'GWP N2O_CH4'!B5</f>
        <v>2069.3854103373587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5.0920371309053643</v>
      </c>
      <c r="C28" s="247">
        <f>B28*'GWP N2O_CH4'!B4</f>
        <v>1578.5315105806628</v>
      </c>
      <c r="D28" s="50"/>
    </row>
    <row r="29" spans="1:4">
      <c r="A29" s="41" t="s">
        <v>277</v>
      </c>
      <c r="B29" s="247">
        <f>B34*'ha_N2O bodem landbouw'!B4</f>
        <v>25.055894353625796</v>
      </c>
      <c r="C29" s="247">
        <f>B29*'GWP N2O_CH4'!B4</f>
        <v>7767.327249623997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5.6195956860509311E-3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9.4913065898348062E-5</v>
      </c>
      <c r="C5" s="464" t="s">
        <v>211</v>
      </c>
      <c r="D5" s="449">
        <f>SUM(D6:D11)</f>
        <v>2.4895172385604983E-4</v>
      </c>
      <c r="E5" s="449">
        <f>SUM(E6:E11)</f>
        <v>1.5870527840417448E-3</v>
      </c>
      <c r="F5" s="462" t="s">
        <v>211</v>
      </c>
      <c r="G5" s="449">
        <f>SUM(G6:G11)</f>
        <v>0.49143456234664762</v>
      </c>
      <c r="H5" s="449">
        <f>SUM(H6:H11)</f>
        <v>9.4128291899066685E-2</v>
      </c>
      <c r="I5" s="464" t="s">
        <v>211</v>
      </c>
      <c r="J5" s="464" t="s">
        <v>211</v>
      </c>
      <c r="K5" s="464" t="s">
        <v>211</v>
      </c>
      <c r="L5" s="464" t="s">
        <v>211</v>
      </c>
      <c r="M5" s="449">
        <f>SUM(M6:M11)</f>
        <v>3.132487294340363E-2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7.8374480246461704E-5</v>
      </c>
      <c r="C6" s="450"/>
      <c r="D6" s="963">
        <f>vkm_2011_GW_PW*SUMIFS(TableVerdeelsleutelVkm[CNG],TableVerdeelsleutelVkm[Voertuigtype],"Lichte voertuigen")*SUMIFS(TableECFTransport[EnergieConsumptieFactor (PJ per km)],TableECFTransport[Index],CONCATENATE($A6,"_CNG_CNG"))</f>
        <v>1.8128880148290098E-4</v>
      </c>
      <c r="E6" s="963">
        <f>vkm_2011_GW_PW*SUMIFS(TableVerdeelsleutelVkm[LPG],TableVerdeelsleutelVkm[Voertuigtype],"Lichte voertuigen")*SUMIFS(TableECFTransport[EnergieConsumptieFactor (PJ per km)],TableECFTransport[Index],CONCATENATE($A6,"_LPG_LPG"))</f>
        <v>1.1804431980159684E-3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0.24522834115042313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6.9124801575222328E-2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1.6313298522206934E-2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0.15983045401169957</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5.4659112615744027E-5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9.2470977247038431E-3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1.6538585651886362E-5</v>
      </c>
      <c r="C8" s="450"/>
      <c r="D8" s="452">
        <f>vkm_2011_NGW_PW*SUMIFS(TableVerdeelsleutelVkm[CNG],TableVerdeelsleutelVkm[Voertuigtype],"Lichte voertuigen")*SUMIFS(TableECFTransport[EnergieConsumptieFactor (PJ per km)],TableECFTransport[Index],CONCATENATE($A8,"_CNG_CNG"))</f>
        <v>6.7662922373148878E-5</v>
      </c>
      <c r="E8" s="452">
        <f>vkm_2011_NGW_PW*SUMIFS(TableVerdeelsleutelVkm[LPG],TableVerdeelsleutelVkm[Voertuigtype],"Lichte voertuigen")*SUMIFS(TableECFTransport[EnergieConsumptieFactor (PJ per km)],TableECFTransport[Index],CONCATENATE($A8,"_LPG_LPG"))</f>
        <v>4.066095860257763E-4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7.8962984270487799E-2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2.4946432521026796E-2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5.3356093848425457E-3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7.4127829140370853E-3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2.3986902018113033E-6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4.2886731165030743E-4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26.364740527318908</v>
      </c>
      <c r="C14" s="21"/>
      <c r="D14" s="21">
        <f t="shared" ref="D14:M14" si="0">((D5)*10^9/3600)+D12</f>
        <v>69.153256626680502</v>
      </c>
      <c r="E14" s="21">
        <f t="shared" si="0"/>
        <v>440.84799556715132</v>
      </c>
      <c r="F14" s="21"/>
      <c r="G14" s="21">
        <f t="shared" si="0"/>
        <v>136509.60065184656</v>
      </c>
      <c r="H14" s="21">
        <f t="shared" si="0"/>
        <v>26146.747749740745</v>
      </c>
      <c r="I14" s="21"/>
      <c r="J14" s="21"/>
      <c r="K14" s="21"/>
      <c r="L14" s="21"/>
      <c r="M14" s="21">
        <f t="shared" si="0"/>
        <v>8701.3535953898972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0.20820724041366653</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5.4893298694154256</v>
      </c>
      <c r="C18" s="23"/>
      <c r="D18" s="23">
        <f t="shared" ref="D18:M18" si="1">D14*D16</f>
        <v>13.968957838589462</v>
      </c>
      <c r="E18" s="23">
        <f t="shared" si="1"/>
        <v>100.07249499374335</v>
      </c>
      <c r="F18" s="23"/>
      <c r="G18" s="23">
        <f t="shared" si="1"/>
        <v>36448.063374043035</v>
      </c>
      <c r="H18" s="23">
        <f t="shared" si="1"/>
        <v>6510.5401896854455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8.8094063616663294E-3</v>
      </c>
      <c r="H50" s="321">
        <f t="shared" si="2"/>
        <v>0</v>
      </c>
      <c r="I50" s="321">
        <f t="shared" si="2"/>
        <v>0</v>
      </c>
      <c r="J50" s="321">
        <f t="shared" si="2"/>
        <v>0</v>
      </c>
      <c r="K50" s="321">
        <f t="shared" si="2"/>
        <v>0</v>
      </c>
      <c r="L50" s="321">
        <f t="shared" si="2"/>
        <v>0</v>
      </c>
      <c r="M50" s="321">
        <f t="shared" si="2"/>
        <v>5.0237476399901573E-4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8.8094063616663294E-3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5.0237476399901573E-4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2447.0573226850915</v>
      </c>
      <c r="H54" s="21">
        <f t="shared" si="3"/>
        <v>0</v>
      </c>
      <c r="I54" s="21">
        <f t="shared" si="3"/>
        <v>0</v>
      </c>
      <c r="J54" s="21">
        <f t="shared" si="3"/>
        <v>0</v>
      </c>
      <c r="K54" s="21">
        <f t="shared" si="3"/>
        <v>0</v>
      </c>
      <c r="L54" s="21">
        <f t="shared" si="3"/>
        <v>0</v>
      </c>
      <c r="M54" s="21">
        <f t="shared" si="3"/>
        <v>139.54854555528215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0.20820724041366653</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653.3643051569195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16098.02781289375</v>
      </c>
      <c r="C6" s="1216"/>
      <c r="D6" s="1201"/>
      <c r="E6" s="1201"/>
      <c r="F6" s="1219"/>
      <c r="G6" s="1222"/>
      <c r="H6" s="1213"/>
      <c r="I6" s="1201"/>
      <c r="J6" s="1201"/>
      <c r="K6" s="1201"/>
      <c r="L6" s="1205"/>
      <c r="M6" s="576"/>
      <c r="N6" s="1179"/>
      <c r="O6" s="1180"/>
      <c r="Q6" s="574"/>
      <c r="R6" s="1167"/>
      <c r="S6" s="1167"/>
    </row>
    <row r="7" spans="1:19" s="564" customFormat="1">
      <c r="A7" s="577" t="s">
        <v>252</v>
      </c>
      <c r="B7" s="578">
        <f>N57</f>
        <v>3970.35</v>
      </c>
      <c r="C7" s="579">
        <f>B100</f>
        <v>4669.5515412881832</v>
      </c>
      <c r="D7" s="580"/>
      <c r="E7" s="580">
        <f>E100</f>
        <v>0</v>
      </c>
      <c r="F7" s="581"/>
      <c r="G7" s="582"/>
      <c r="H7" s="580">
        <f>I100</f>
        <v>0</v>
      </c>
      <c r="I7" s="580">
        <f>G100+F100</f>
        <v>0</v>
      </c>
      <c r="J7" s="580">
        <f>H100+D100+C100</f>
        <v>0</v>
      </c>
      <c r="K7" s="580"/>
      <c r="L7" s="583"/>
      <c r="M7" s="584">
        <f>C7*$C$11+D7*$D$11+E7*$E$11+F7*$F$11+G7*$G$11+H7*$H$11+I7*$I$11+J7*$J$11</f>
        <v>943.2494113402131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20068.377812893748</v>
      </c>
      <c r="C9" s="595">
        <f t="shared" ref="C9:L9" si="0">SUM(C7:C8)</f>
        <v>4669.5515412881832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943.2494113402131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5704.0714285714284</v>
      </c>
      <c r="C16" s="611">
        <f>B101</f>
        <v>6708.5913158546737</v>
      </c>
      <c r="D16" s="612"/>
      <c r="E16" s="612">
        <f>E101</f>
        <v>0</v>
      </c>
      <c r="F16" s="613"/>
      <c r="G16" s="614"/>
      <c r="H16" s="611">
        <f>I101</f>
        <v>0</v>
      </c>
      <c r="I16" s="612">
        <f>G101+F101</f>
        <v>0</v>
      </c>
      <c r="J16" s="612">
        <f>H101+D101+C101</f>
        <v>0</v>
      </c>
      <c r="K16" s="612"/>
      <c r="L16" s="615"/>
      <c r="M16" s="616">
        <f>C16*$C$21+E16*$E$21+H16*$H$21+I16*$I$21+J16*$J$21+D16*$D$21+F16*$F$21+G16*$G$21+K16*$K$21+L16*$L$21</f>
        <v>1355.1354458026442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5704.0714285714284</v>
      </c>
      <c r="C19" s="594">
        <f>SUM(C16:C18)</f>
        <v>6708.5913158546737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1355.1354458026442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45035</v>
      </c>
      <c r="C27" s="852">
        <v>9700</v>
      </c>
      <c r="D27" s="673" t="s">
        <v>834</v>
      </c>
      <c r="E27" s="672" t="s">
        <v>835</v>
      </c>
      <c r="F27" s="672" t="s">
        <v>836</v>
      </c>
      <c r="G27" s="672" t="s">
        <v>837</v>
      </c>
      <c r="H27" s="672" t="s">
        <v>838</v>
      </c>
      <c r="I27" s="672" t="s">
        <v>835</v>
      </c>
      <c r="J27" s="851">
        <v>40660</v>
      </c>
      <c r="K27" s="851">
        <v>40975</v>
      </c>
      <c r="L27" s="672" t="s">
        <v>839</v>
      </c>
      <c r="M27" s="672">
        <v>875</v>
      </c>
      <c r="N27" s="672">
        <v>3937.5</v>
      </c>
      <c r="O27" s="672">
        <v>5625</v>
      </c>
      <c r="P27" s="672">
        <v>11250</v>
      </c>
      <c r="Q27" s="672">
        <v>0</v>
      </c>
      <c r="R27" s="672">
        <v>0</v>
      </c>
      <c r="S27" s="672">
        <v>0</v>
      </c>
      <c r="T27" s="672">
        <v>0</v>
      </c>
      <c r="U27" s="672">
        <v>0</v>
      </c>
      <c r="V27" s="672">
        <v>0</v>
      </c>
      <c r="W27" s="672">
        <v>0</v>
      </c>
      <c r="X27" s="672">
        <v>300</v>
      </c>
      <c r="Y27" s="672" t="s">
        <v>840</v>
      </c>
      <c r="Z27" s="674" t="s">
        <v>389</v>
      </c>
    </row>
    <row r="28" spans="1:26" s="626" customFormat="1" ht="25.5">
      <c r="A28" s="625"/>
      <c r="B28" s="852">
        <v>45035</v>
      </c>
      <c r="C28" s="852">
        <v>9700</v>
      </c>
      <c r="D28" s="673" t="s">
        <v>841</v>
      </c>
      <c r="E28" s="672" t="s">
        <v>842</v>
      </c>
      <c r="F28" s="672" t="s">
        <v>843</v>
      </c>
      <c r="G28" s="672" t="s">
        <v>844</v>
      </c>
      <c r="H28" s="672" t="s">
        <v>844</v>
      </c>
      <c r="I28" s="672" t="s">
        <v>842</v>
      </c>
      <c r="J28" s="851">
        <v>40892</v>
      </c>
      <c r="K28" s="851">
        <v>41000</v>
      </c>
      <c r="L28" s="672" t="s">
        <v>839</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45035</v>
      </c>
      <c r="C29" s="852">
        <v>9700</v>
      </c>
      <c r="D29" s="673" t="s">
        <v>845</v>
      </c>
      <c r="E29" s="672" t="s">
        <v>846</v>
      </c>
      <c r="F29" s="672" t="s">
        <v>847</v>
      </c>
      <c r="G29" s="672" t="s">
        <v>844</v>
      </c>
      <c r="H29" s="672" t="s">
        <v>844</v>
      </c>
      <c r="I29" s="672" t="s">
        <v>846</v>
      </c>
      <c r="J29" s="851">
        <v>40512</v>
      </c>
      <c r="K29" s="851">
        <v>41122</v>
      </c>
      <c r="L29" s="672" t="s">
        <v>839</v>
      </c>
      <c r="M29" s="672">
        <v>1</v>
      </c>
      <c r="N29" s="672">
        <v>4.5</v>
      </c>
      <c r="O29" s="672">
        <v>22.5</v>
      </c>
      <c r="P29" s="672">
        <v>30</v>
      </c>
      <c r="Q29" s="672">
        <v>0</v>
      </c>
      <c r="R29" s="672">
        <v>0</v>
      </c>
      <c r="S29" s="672">
        <v>0</v>
      </c>
      <c r="T29" s="672">
        <v>0</v>
      </c>
      <c r="U29" s="672">
        <v>0</v>
      </c>
      <c r="V29" s="672">
        <v>0</v>
      </c>
      <c r="W29" s="672">
        <v>0</v>
      </c>
      <c r="X29" s="672">
        <v>10</v>
      </c>
      <c r="Y29" s="672" t="s">
        <v>112</v>
      </c>
      <c r="Z29" s="674" t="s">
        <v>112</v>
      </c>
    </row>
    <row r="30" spans="1:26" s="626" customFormat="1" ht="38.25">
      <c r="A30" s="625"/>
      <c r="B30" s="852">
        <v>45035</v>
      </c>
      <c r="C30" s="852">
        <v>9700</v>
      </c>
      <c r="D30" s="673" t="s">
        <v>848</v>
      </c>
      <c r="E30" s="672" t="s">
        <v>849</v>
      </c>
      <c r="F30" s="672" t="s">
        <v>850</v>
      </c>
      <c r="G30" s="672" t="s">
        <v>837</v>
      </c>
      <c r="H30" s="672" t="s">
        <v>838</v>
      </c>
      <c r="I30" s="672" t="s">
        <v>849</v>
      </c>
      <c r="J30" s="851">
        <v>41463</v>
      </c>
      <c r="K30" s="851">
        <v>41495</v>
      </c>
      <c r="L30" s="672" t="s">
        <v>839</v>
      </c>
      <c r="M30" s="672">
        <v>5.3</v>
      </c>
      <c r="N30" s="672">
        <v>23.85</v>
      </c>
      <c r="O30" s="672">
        <v>34.071428571428577</v>
      </c>
      <c r="P30" s="672">
        <v>68.142857142857153</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882.3</v>
      </c>
      <c r="N57" s="630">
        <f>SUM(N27:N56)</f>
        <v>3970.35</v>
      </c>
      <c r="O57" s="630">
        <f t="shared" ref="O57:W57" si="2">SUM(O27:O56)</f>
        <v>5704.0714285714284</v>
      </c>
      <c r="P57" s="630">
        <f t="shared" si="2"/>
        <v>11378.142857142857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875</v>
      </c>
      <c r="N58" s="630">
        <f t="shared" ref="N58:W58" si="3">SUMIF($Z$27:$Z$56,"industrie",N27:N56)</f>
        <v>3937.5</v>
      </c>
      <c r="O58" s="630">
        <f t="shared" si="3"/>
        <v>5625</v>
      </c>
      <c r="P58" s="630">
        <f t="shared" si="3"/>
        <v>11250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7.3</v>
      </c>
      <c r="N60" s="635">
        <f t="shared" ref="N60:W60" si="4">SUMIF($Z$27:$Z$56,"landbouw",N27:N56)</f>
        <v>32.85</v>
      </c>
      <c r="O60" s="635">
        <f t="shared" si="4"/>
        <v>79.071428571428584</v>
      </c>
      <c r="P60" s="635">
        <f t="shared" si="4"/>
        <v>128.14285714285717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0.58960336498528154</v>
      </c>
      <c r="C97" s="655">
        <f>IF(ISERROR(N57/(O57+N57)),0,N57/(N57+O57))</f>
        <v>0.41039663501471851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4669.5515412881832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6708.5913158546737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53324.102000000006</v>
      </c>
      <c r="D10" s="719">
        <f ca="1">tertiair!C16</f>
        <v>0</v>
      </c>
      <c r="E10" s="719">
        <f ca="1">tertiair!D16</f>
        <v>95284.527133084877</v>
      </c>
      <c r="F10" s="719">
        <f>tertiair!E16</f>
        <v>520.59069131425213</v>
      </c>
      <c r="G10" s="719">
        <f ca="1">tertiair!F16</f>
        <v>7665.256540186796</v>
      </c>
      <c r="H10" s="719">
        <f>tertiair!G16</f>
        <v>0</v>
      </c>
      <c r="I10" s="719">
        <f>tertiair!H16</f>
        <v>0</v>
      </c>
      <c r="J10" s="719">
        <f>tertiair!I16</f>
        <v>0</v>
      </c>
      <c r="K10" s="719">
        <f>tertiair!J16</f>
        <v>0</v>
      </c>
      <c r="L10" s="719">
        <f>tertiair!K16</f>
        <v>0</v>
      </c>
      <c r="M10" s="719">
        <f ca="1">tertiair!L16</f>
        <v>0</v>
      </c>
      <c r="N10" s="719">
        <f>tertiair!M16</f>
        <v>0</v>
      </c>
      <c r="O10" s="719">
        <f ca="1">tertiair!N16</f>
        <v>4646.5841028306795</v>
      </c>
      <c r="P10" s="719">
        <f>tertiair!O16</f>
        <v>4.6900000000000004</v>
      </c>
      <c r="Q10" s="720">
        <f>tertiair!P16</f>
        <v>19.066666666666666</v>
      </c>
      <c r="R10" s="722">
        <f ca="1">SUM(C10:Q10)</f>
        <v>161464.81713408328</v>
      </c>
      <c r="S10" s="67"/>
    </row>
    <row r="11" spans="1:19" s="475" customFormat="1">
      <c r="A11" s="871" t="s">
        <v>225</v>
      </c>
      <c r="B11" s="876"/>
      <c r="C11" s="719">
        <f>huishoudens!B8</f>
        <v>55292.070803803537</v>
      </c>
      <c r="D11" s="719">
        <f>huishoudens!C8</f>
        <v>0</v>
      </c>
      <c r="E11" s="719">
        <f>huishoudens!D8</f>
        <v>96962.046217757525</v>
      </c>
      <c r="F11" s="719">
        <f>huishoudens!E8</f>
        <v>9150.420874247091</v>
      </c>
      <c r="G11" s="719">
        <f>huishoudens!F8</f>
        <v>42992.692712031247</v>
      </c>
      <c r="H11" s="719">
        <f>huishoudens!G8</f>
        <v>0</v>
      </c>
      <c r="I11" s="719">
        <f>huishoudens!H8</f>
        <v>0</v>
      </c>
      <c r="J11" s="719">
        <f>huishoudens!I8</f>
        <v>0</v>
      </c>
      <c r="K11" s="719">
        <f>huishoudens!J8</f>
        <v>932.11692943658511</v>
      </c>
      <c r="L11" s="719">
        <f>huishoudens!K8</f>
        <v>0</v>
      </c>
      <c r="M11" s="719">
        <f>huishoudens!L8</f>
        <v>0</v>
      </c>
      <c r="N11" s="719">
        <f>huishoudens!M8</f>
        <v>0</v>
      </c>
      <c r="O11" s="719">
        <f>huishoudens!N8</f>
        <v>19126.415035636928</v>
      </c>
      <c r="P11" s="719">
        <f>huishoudens!O8</f>
        <v>612.82666666666671</v>
      </c>
      <c r="Q11" s="720">
        <f>huishoudens!P8</f>
        <v>877.06666666666661</v>
      </c>
      <c r="R11" s="722">
        <f>SUM(C11:Q11)</f>
        <v>225945.65590624628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162372.329</v>
      </c>
      <c r="D13" s="719">
        <f>industrie!C18</f>
        <v>5625</v>
      </c>
      <c r="E13" s="719">
        <f>industrie!D18</f>
        <v>174801.67863067432</v>
      </c>
      <c r="F13" s="719">
        <f>industrie!E18</f>
        <v>9247.5485488733284</v>
      </c>
      <c r="G13" s="719">
        <f>industrie!F18</f>
        <v>52782.827390924416</v>
      </c>
      <c r="H13" s="719">
        <f>industrie!G18</f>
        <v>0</v>
      </c>
      <c r="I13" s="719">
        <f>industrie!H18</f>
        <v>0</v>
      </c>
      <c r="J13" s="719">
        <f>industrie!I18</f>
        <v>0</v>
      </c>
      <c r="K13" s="719">
        <f>industrie!J18</f>
        <v>686.42087478953158</v>
      </c>
      <c r="L13" s="719">
        <f>industrie!K18</f>
        <v>0</v>
      </c>
      <c r="M13" s="719">
        <f>industrie!L18</f>
        <v>0</v>
      </c>
      <c r="N13" s="719">
        <f>industrie!M18</f>
        <v>0</v>
      </c>
      <c r="O13" s="719">
        <f>industrie!N18</f>
        <v>30291.12271180228</v>
      </c>
      <c r="P13" s="719">
        <f>industrie!O18</f>
        <v>0</v>
      </c>
      <c r="Q13" s="720">
        <f>industrie!P18</f>
        <v>0</v>
      </c>
      <c r="R13" s="722">
        <f>SUM(C13:Q13)</f>
        <v>435806.92715706385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270988.50180380355</v>
      </c>
      <c r="D15" s="724">
        <f t="shared" ref="D15:Q15" ca="1" si="0">SUM(D9:D14)</f>
        <v>5625</v>
      </c>
      <c r="E15" s="724">
        <f t="shared" ca="1" si="0"/>
        <v>367048.25198151672</v>
      </c>
      <c r="F15" s="724">
        <f t="shared" si="0"/>
        <v>18918.560114434673</v>
      </c>
      <c r="G15" s="724">
        <f t="shared" ca="1" si="0"/>
        <v>103440.77664314245</v>
      </c>
      <c r="H15" s="724">
        <f t="shared" si="0"/>
        <v>0</v>
      </c>
      <c r="I15" s="724">
        <f t="shared" si="0"/>
        <v>0</v>
      </c>
      <c r="J15" s="724">
        <f t="shared" si="0"/>
        <v>0</v>
      </c>
      <c r="K15" s="724">
        <f t="shared" si="0"/>
        <v>1618.5378042261168</v>
      </c>
      <c r="L15" s="724">
        <f t="shared" si="0"/>
        <v>0</v>
      </c>
      <c r="M15" s="724">
        <f t="shared" ca="1" si="0"/>
        <v>0</v>
      </c>
      <c r="N15" s="724">
        <f t="shared" si="0"/>
        <v>0</v>
      </c>
      <c r="O15" s="724">
        <f t="shared" ca="1" si="0"/>
        <v>54064.12185026989</v>
      </c>
      <c r="P15" s="724">
        <f t="shared" si="0"/>
        <v>617.51666666666677</v>
      </c>
      <c r="Q15" s="725">
        <f t="shared" si="0"/>
        <v>896.13333333333333</v>
      </c>
      <c r="R15" s="726">
        <f ca="1">SUM(R9:R14)</f>
        <v>823217.40019739338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2447.0573226850915</v>
      </c>
      <c r="I18" s="719">
        <f>transport!H54</f>
        <v>0</v>
      </c>
      <c r="J18" s="719">
        <f>transport!I54</f>
        <v>0</v>
      </c>
      <c r="K18" s="719">
        <f>transport!J54</f>
        <v>0</v>
      </c>
      <c r="L18" s="719">
        <f>transport!K54</f>
        <v>0</v>
      </c>
      <c r="M18" s="719">
        <f>transport!L54</f>
        <v>0</v>
      </c>
      <c r="N18" s="719">
        <f>transport!M54</f>
        <v>139.54854555528215</v>
      </c>
      <c r="O18" s="719">
        <f>transport!N54</f>
        <v>0</v>
      </c>
      <c r="P18" s="719">
        <f>transport!O54</f>
        <v>0</v>
      </c>
      <c r="Q18" s="720">
        <f>transport!P54</f>
        <v>0</v>
      </c>
      <c r="R18" s="722">
        <f>SUM(C18:Q18)</f>
        <v>2586.6058682403736</v>
      </c>
      <c r="S18" s="67"/>
    </row>
    <row r="19" spans="1:19" s="475" customFormat="1" ht="15" thickBot="1">
      <c r="A19" s="871" t="s">
        <v>307</v>
      </c>
      <c r="B19" s="876"/>
      <c r="C19" s="728">
        <f>transport!B14</f>
        <v>26.364740527318908</v>
      </c>
      <c r="D19" s="728">
        <f>transport!C14</f>
        <v>0</v>
      </c>
      <c r="E19" s="728">
        <f>transport!D14</f>
        <v>69.153256626680502</v>
      </c>
      <c r="F19" s="728">
        <f>transport!E14</f>
        <v>440.84799556715132</v>
      </c>
      <c r="G19" s="728">
        <f>transport!F14</f>
        <v>0</v>
      </c>
      <c r="H19" s="728">
        <f>transport!G14</f>
        <v>136509.60065184656</v>
      </c>
      <c r="I19" s="728">
        <f>transport!H14</f>
        <v>26146.747749740745</v>
      </c>
      <c r="J19" s="728">
        <f>transport!I14</f>
        <v>0</v>
      </c>
      <c r="K19" s="728">
        <f>transport!J14</f>
        <v>0</v>
      </c>
      <c r="L19" s="728">
        <f>transport!K14</f>
        <v>0</v>
      </c>
      <c r="M19" s="728">
        <f>transport!L14</f>
        <v>0</v>
      </c>
      <c r="N19" s="728">
        <f>transport!M14</f>
        <v>8701.3535953898972</v>
      </c>
      <c r="O19" s="728">
        <f>transport!N14</f>
        <v>0</v>
      </c>
      <c r="P19" s="728">
        <f>transport!O14</f>
        <v>0</v>
      </c>
      <c r="Q19" s="729">
        <f>transport!P14</f>
        <v>0</v>
      </c>
      <c r="R19" s="730">
        <f>SUM(C19:Q19)</f>
        <v>171894.06798969835</v>
      </c>
      <c r="S19" s="67"/>
    </row>
    <row r="20" spans="1:19" s="475" customFormat="1" ht="15.75" thickBot="1">
      <c r="A20" s="731" t="s">
        <v>230</v>
      </c>
      <c r="B20" s="879"/>
      <c r="C20" s="874">
        <f>SUM(C17:C19)</f>
        <v>26.364740527318908</v>
      </c>
      <c r="D20" s="732">
        <f t="shared" ref="D20:R20" si="1">SUM(D17:D19)</f>
        <v>0</v>
      </c>
      <c r="E20" s="732">
        <f t="shared" si="1"/>
        <v>69.153256626680502</v>
      </c>
      <c r="F20" s="732">
        <f t="shared" si="1"/>
        <v>440.84799556715132</v>
      </c>
      <c r="G20" s="732">
        <f t="shared" si="1"/>
        <v>0</v>
      </c>
      <c r="H20" s="732">
        <f t="shared" si="1"/>
        <v>138956.65797453164</v>
      </c>
      <c r="I20" s="732">
        <f t="shared" si="1"/>
        <v>26146.747749740745</v>
      </c>
      <c r="J20" s="732">
        <f t="shared" si="1"/>
        <v>0</v>
      </c>
      <c r="K20" s="732">
        <f t="shared" si="1"/>
        <v>0</v>
      </c>
      <c r="L20" s="732">
        <f t="shared" si="1"/>
        <v>0</v>
      </c>
      <c r="M20" s="732">
        <f t="shared" si="1"/>
        <v>0</v>
      </c>
      <c r="N20" s="732">
        <f t="shared" si="1"/>
        <v>8840.9021409451798</v>
      </c>
      <c r="O20" s="732">
        <f t="shared" si="1"/>
        <v>0</v>
      </c>
      <c r="P20" s="732">
        <f t="shared" si="1"/>
        <v>0</v>
      </c>
      <c r="Q20" s="733">
        <f t="shared" si="1"/>
        <v>0</v>
      </c>
      <c r="R20" s="734">
        <f t="shared" si="1"/>
        <v>174480.67385793873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1941.2584999999999</v>
      </c>
      <c r="D22" s="728">
        <f>+landbouw!C8</f>
        <v>79.071428571428584</v>
      </c>
      <c r="E22" s="728">
        <f>+landbouw!D8</f>
        <v>13245.984629373987</v>
      </c>
      <c r="F22" s="728">
        <f>+landbouw!E8</f>
        <v>17.980749300799108</v>
      </c>
      <c r="G22" s="728">
        <f>+landbouw!F8</f>
        <v>4925.3426238647444</v>
      </c>
      <c r="H22" s="728">
        <f>+landbouw!G8</f>
        <v>0</v>
      </c>
      <c r="I22" s="728">
        <f>+landbouw!H8</f>
        <v>0</v>
      </c>
      <c r="J22" s="728">
        <f>+landbouw!I8</f>
        <v>0</v>
      </c>
      <c r="K22" s="728">
        <f>+landbouw!J8</f>
        <v>297.61659255808996</v>
      </c>
      <c r="L22" s="728">
        <f>+landbouw!K8</f>
        <v>0</v>
      </c>
      <c r="M22" s="728">
        <f>+landbouw!L8</f>
        <v>0</v>
      </c>
      <c r="N22" s="728">
        <f>+landbouw!M8</f>
        <v>0</v>
      </c>
      <c r="O22" s="728">
        <f>+landbouw!N8</f>
        <v>0</v>
      </c>
      <c r="P22" s="728">
        <f>+landbouw!O8</f>
        <v>0</v>
      </c>
      <c r="Q22" s="729">
        <f>+landbouw!P8</f>
        <v>0</v>
      </c>
      <c r="R22" s="730">
        <f>SUM(C22:Q22)</f>
        <v>20507.254523669049</v>
      </c>
      <c r="S22" s="67"/>
    </row>
    <row r="23" spans="1:19" s="475" customFormat="1" ht="17.25" thickTop="1" thickBot="1">
      <c r="A23" s="735" t="s">
        <v>116</v>
      </c>
      <c r="B23" s="865"/>
      <c r="C23" s="736">
        <f ca="1">C20+C15+C22</f>
        <v>272956.12504433084</v>
      </c>
      <c r="D23" s="736">
        <f t="shared" ref="D23:Q23" ca="1" si="2">D20+D15+D22</f>
        <v>5704.0714285714284</v>
      </c>
      <c r="E23" s="736">
        <f t="shared" ca="1" si="2"/>
        <v>380363.3898675174</v>
      </c>
      <c r="F23" s="736">
        <f t="shared" si="2"/>
        <v>19377.38885930262</v>
      </c>
      <c r="G23" s="736">
        <f t="shared" ca="1" si="2"/>
        <v>108366.11926700719</v>
      </c>
      <c r="H23" s="736">
        <f t="shared" si="2"/>
        <v>138956.65797453164</v>
      </c>
      <c r="I23" s="736">
        <f t="shared" si="2"/>
        <v>26146.747749740745</v>
      </c>
      <c r="J23" s="736">
        <f t="shared" si="2"/>
        <v>0</v>
      </c>
      <c r="K23" s="736">
        <f t="shared" si="2"/>
        <v>1916.1543967842067</v>
      </c>
      <c r="L23" s="736">
        <f t="shared" si="2"/>
        <v>0</v>
      </c>
      <c r="M23" s="736">
        <f t="shared" ca="1" si="2"/>
        <v>0</v>
      </c>
      <c r="N23" s="736">
        <f t="shared" si="2"/>
        <v>8840.9021409451798</v>
      </c>
      <c r="O23" s="736">
        <f t="shared" ca="1" si="2"/>
        <v>54064.12185026989</v>
      </c>
      <c r="P23" s="736">
        <f t="shared" si="2"/>
        <v>617.51666666666677</v>
      </c>
      <c r="Q23" s="737">
        <f t="shared" si="2"/>
        <v>896.13333333333333</v>
      </c>
      <c r="R23" s="738">
        <f ca="1">R20+R15+R22</f>
        <v>1018205.3285790011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11102.464124956878</v>
      </c>
      <c r="D36" s="719">
        <f ca="1">tertiair!C20</f>
        <v>0</v>
      </c>
      <c r="E36" s="719">
        <f ca="1">tertiair!D20</f>
        <v>19247.474480883146</v>
      </c>
      <c r="F36" s="719">
        <f>tertiair!E20</f>
        <v>118.17408692833524</v>
      </c>
      <c r="G36" s="719">
        <f ca="1">tertiair!F20</f>
        <v>2046.6234962298747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32514.736188998231</v>
      </c>
    </row>
    <row r="37" spans="1:18">
      <c r="A37" s="886" t="s">
        <v>225</v>
      </c>
      <c r="B37" s="893"/>
      <c r="C37" s="719">
        <f ca="1">huishoudens!B12</f>
        <v>11512.209478816996</v>
      </c>
      <c r="D37" s="719">
        <f ca="1">huishoudens!C12</f>
        <v>0</v>
      </c>
      <c r="E37" s="719">
        <f>huishoudens!D12</f>
        <v>19586.333335987023</v>
      </c>
      <c r="F37" s="719">
        <f>huishoudens!E12</f>
        <v>2077.1455384540895</v>
      </c>
      <c r="G37" s="719">
        <f>huishoudens!F12</f>
        <v>11479.048954112344</v>
      </c>
      <c r="H37" s="719">
        <f>huishoudens!G12</f>
        <v>0</v>
      </c>
      <c r="I37" s="719">
        <f>huishoudens!H12</f>
        <v>0</v>
      </c>
      <c r="J37" s="719">
        <f>huishoudens!I12</f>
        <v>0</v>
      </c>
      <c r="K37" s="719">
        <f>huishoudens!J12</f>
        <v>329.96939302055114</v>
      </c>
      <c r="L37" s="719">
        <f>huishoudens!K12</f>
        <v>0</v>
      </c>
      <c r="M37" s="719">
        <f>huishoudens!L12</f>
        <v>0</v>
      </c>
      <c r="N37" s="719">
        <f>huishoudens!M12</f>
        <v>0</v>
      </c>
      <c r="O37" s="719">
        <f>huishoudens!N12</f>
        <v>0</v>
      </c>
      <c r="P37" s="719">
        <f>huishoudens!O12</f>
        <v>0</v>
      </c>
      <c r="Q37" s="829">
        <f>huishoudens!P12</f>
        <v>0</v>
      </c>
      <c r="R37" s="918">
        <f ca="1">SUM(C37:Q37)</f>
        <v>44984.706700391012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33807.094540629958</v>
      </c>
      <c r="D39" s="719">
        <f ca="1">industrie!C22</f>
        <v>1336.3501804094599</v>
      </c>
      <c r="E39" s="719">
        <f>industrie!D22</f>
        <v>35309.939083396217</v>
      </c>
      <c r="F39" s="719">
        <f>industrie!E22</f>
        <v>2099.1935205942455</v>
      </c>
      <c r="G39" s="719">
        <f>industrie!F22</f>
        <v>14093.014913376819</v>
      </c>
      <c r="H39" s="719">
        <f>industrie!G22</f>
        <v>0</v>
      </c>
      <c r="I39" s="719">
        <f>industrie!H22</f>
        <v>0</v>
      </c>
      <c r="J39" s="719">
        <f>industrie!I22</f>
        <v>0</v>
      </c>
      <c r="K39" s="719">
        <f>industrie!J22</f>
        <v>242.99298967549416</v>
      </c>
      <c r="L39" s="719">
        <f>industrie!K22</f>
        <v>0</v>
      </c>
      <c r="M39" s="719">
        <f>industrie!L22</f>
        <v>0</v>
      </c>
      <c r="N39" s="719">
        <f>industrie!M22</f>
        <v>0</v>
      </c>
      <c r="O39" s="719">
        <f>industrie!N22</f>
        <v>0</v>
      </c>
      <c r="P39" s="719">
        <f>industrie!O22</f>
        <v>0</v>
      </c>
      <c r="Q39" s="829">
        <f>industrie!P22</f>
        <v>0</v>
      </c>
      <c r="R39" s="919">
        <f ca="1">SUM(C39:Q39)</f>
        <v>86888.585228082185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56421.768144403832</v>
      </c>
      <c r="D41" s="764">
        <f t="shared" ref="D41:R41" ca="1" si="4">SUM(D35:D40)</f>
        <v>1336.3501804094599</v>
      </c>
      <c r="E41" s="764">
        <f t="shared" ca="1" si="4"/>
        <v>74143.746900266386</v>
      </c>
      <c r="F41" s="764">
        <f t="shared" si="4"/>
        <v>4294.5131459766708</v>
      </c>
      <c r="G41" s="764">
        <f t="shared" ca="1" si="4"/>
        <v>27618.687363719037</v>
      </c>
      <c r="H41" s="764">
        <f t="shared" si="4"/>
        <v>0</v>
      </c>
      <c r="I41" s="764">
        <f t="shared" si="4"/>
        <v>0</v>
      </c>
      <c r="J41" s="764">
        <f t="shared" si="4"/>
        <v>0</v>
      </c>
      <c r="K41" s="764">
        <f t="shared" si="4"/>
        <v>572.96238269604532</v>
      </c>
      <c r="L41" s="764">
        <f t="shared" si="4"/>
        <v>0</v>
      </c>
      <c r="M41" s="764">
        <f t="shared" ca="1" si="4"/>
        <v>0</v>
      </c>
      <c r="N41" s="764">
        <f t="shared" si="4"/>
        <v>0</v>
      </c>
      <c r="O41" s="764">
        <f t="shared" ca="1" si="4"/>
        <v>0</v>
      </c>
      <c r="P41" s="764">
        <f t="shared" si="4"/>
        <v>0</v>
      </c>
      <c r="Q41" s="765">
        <f t="shared" si="4"/>
        <v>0</v>
      </c>
      <c r="R41" s="766">
        <f t="shared" ca="1" si="4"/>
        <v>164388.02811747143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653.3643051569195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653.3643051569195</v>
      </c>
    </row>
    <row r="45" spans="1:18" ht="15" thickBot="1">
      <c r="A45" s="889" t="s">
        <v>307</v>
      </c>
      <c r="B45" s="899"/>
      <c r="C45" s="728">
        <f ca="1">transport!B18</f>
        <v>5.4893298694154256</v>
      </c>
      <c r="D45" s="728">
        <f>transport!C18</f>
        <v>0</v>
      </c>
      <c r="E45" s="728">
        <f>transport!D18</f>
        <v>13.968957838589462</v>
      </c>
      <c r="F45" s="728">
        <f>transport!E18</f>
        <v>100.07249499374335</v>
      </c>
      <c r="G45" s="728">
        <f>transport!F18</f>
        <v>0</v>
      </c>
      <c r="H45" s="728">
        <f>transport!G18</f>
        <v>36448.063374043035</v>
      </c>
      <c r="I45" s="728">
        <f>transport!H18</f>
        <v>6510.5401896854455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43078.134346430226</v>
      </c>
    </row>
    <row r="46" spans="1:18" ht="15.75" thickBot="1">
      <c r="A46" s="887" t="s">
        <v>230</v>
      </c>
      <c r="B46" s="900"/>
      <c r="C46" s="764">
        <f t="shared" ref="C46:R46" ca="1" si="5">SUM(C43:C45)</f>
        <v>5.4893298694154256</v>
      </c>
      <c r="D46" s="764">
        <f t="shared" ca="1" si="5"/>
        <v>0</v>
      </c>
      <c r="E46" s="764">
        <f t="shared" si="5"/>
        <v>13.968957838589462</v>
      </c>
      <c r="F46" s="764">
        <f t="shared" si="5"/>
        <v>100.07249499374335</v>
      </c>
      <c r="G46" s="764">
        <f t="shared" si="5"/>
        <v>0</v>
      </c>
      <c r="H46" s="764">
        <f t="shared" si="5"/>
        <v>37101.427679199951</v>
      </c>
      <c r="I46" s="764">
        <f t="shared" si="5"/>
        <v>6510.5401896854455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43731.498651587142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404.18407521457368</v>
      </c>
      <c r="D48" s="719">
        <f ca="1">+landbouw!C12</f>
        <v>18.78526539318441</v>
      </c>
      <c r="E48" s="719">
        <f>+landbouw!D12</f>
        <v>2675.6888951335454</v>
      </c>
      <c r="F48" s="719">
        <f>+landbouw!E12</f>
        <v>4.0816300912813972</v>
      </c>
      <c r="G48" s="719">
        <f>+landbouw!F12</f>
        <v>1315.0664805718868</v>
      </c>
      <c r="H48" s="719">
        <f>+landbouw!G12</f>
        <v>0</v>
      </c>
      <c r="I48" s="719">
        <f>+landbouw!H12</f>
        <v>0</v>
      </c>
      <c r="J48" s="719">
        <f>+landbouw!I12</f>
        <v>0</v>
      </c>
      <c r="K48" s="719">
        <f>+landbouw!J12</f>
        <v>105.35627376556384</v>
      </c>
      <c r="L48" s="719">
        <f>+landbouw!K12</f>
        <v>0</v>
      </c>
      <c r="M48" s="719">
        <f>+landbouw!L12</f>
        <v>0</v>
      </c>
      <c r="N48" s="719">
        <f>+landbouw!M12</f>
        <v>0</v>
      </c>
      <c r="O48" s="719">
        <f>+landbouw!N12</f>
        <v>0</v>
      </c>
      <c r="P48" s="719">
        <f>+landbouw!O12</f>
        <v>0</v>
      </c>
      <c r="Q48" s="720">
        <f>+landbouw!P12</f>
        <v>0</v>
      </c>
      <c r="R48" s="762">
        <f ca="1">SUM(C48:Q48)</f>
        <v>4523.1626201700356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56831.441549487819</v>
      </c>
      <c r="D53" s="774">
        <f t="shared" ref="D53:Q53" ca="1" si="6">D41+D46+D48</f>
        <v>1355.1354458026442</v>
      </c>
      <c r="E53" s="774">
        <f t="shared" ca="1" si="6"/>
        <v>76833.404753238516</v>
      </c>
      <c r="F53" s="774">
        <f t="shared" si="6"/>
        <v>4398.6672710616949</v>
      </c>
      <c r="G53" s="774">
        <f t="shared" ca="1" si="6"/>
        <v>28933.753844290924</v>
      </c>
      <c r="H53" s="774">
        <f t="shared" si="6"/>
        <v>37101.427679199951</v>
      </c>
      <c r="I53" s="774">
        <f t="shared" si="6"/>
        <v>6510.5401896854455</v>
      </c>
      <c r="J53" s="774">
        <f t="shared" si="6"/>
        <v>0</v>
      </c>
      <c r="K53" s="774">
        <f t="shared" si="6"/>
        <v>678.31865646160918</v>
      </c>
      <c r="L53" s="774">
        <f t="shared" si="6"/>
        <v>0</v>
      </c>
      <c r="M53" s="774">
        <f t="shared" ca="1" si="6"/>
        <v>0</v>
      </c>
      <c r="N53" s="774">
        <f t="shared" si="6"/>
        <v>0</v>
      </c>
      <c r="O53" s="774">
        <f t="shared" ca="1" si="6"/>
        <v>0</v>
      </c>
      <c r="P53" s="774">
        <f>P41+P46+P48</f>
        <v>0</v>
      </c>
      <c r="Q53" s="775">
        <f t="shared" si="6"/>
        <v>0</v>
      </c>
      <c r="R53" s="776">
        <f ca="1">R41+R46+R48</f>
        <v>212642.68938922862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0.20820724041366656</v>
      </c>
      <c r="D55" s="837">
        <f t="shared" ca="1" si="7"/>
        <v>0.2375733654061262</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16098.02781289375</v>
      </c>
      <c r="C66" s="796">
        <f>'lokale energieproductie'!B6</f>
        <v>16098.02781289375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3970.35</v>
      </c>
      <c r="C67" s="795">
        <f>B67*IFERROR(SUM(J67:L67)/SUM(D67:M67),0)</f>
        <v>0</v>
      </c>
      <c r="D67" s="827">
        <f>'lokale energieproductie'!C7</f>
        <v>4669.5515412881832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943.2494113402131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20068.377812893748</v>
      </c>
      <c r="C69" s="804">
        <f>SUM(C64:C68)</f>
        <v>16098.02781289375</v>
      </c>
      <c r="D69" s="805">
        <f t="shared" ref="D69:M69" si="8">SUM(D67:D68)</f>
        <v>4669.5515412881832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943.2494113402131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5704.0714285714284</v>
      </c>
      <c r="C78" s="818">
        <f>B78*IFERROR(SUM(I78:L78)/SUM(D78:M78),0)</f>
        <v>0</v>
      </c>
      <c r="D78" s="833">
        <f>'lokale energieproductie'!C16</f>
        <v>6708.5913158546737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1355.1354458026442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5704.0714285714284</v>
      </c>
      <c r="C81" s="804">
        <f>SUM(C78:C80)</f>
        <v>0</v>
      </c>
      <c r="D81" s="804">
        <f t="shared" ref="D81:P81" si="9">SUM(D78:D80)</f>
        <v>6708.5913158546737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1355.1354458026442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55292.070803803537</v>
      </c>
      <c r="C4" s="479">
        <f>huishoudens!C8</f>
        <v>0</v>
      </c>
      <c r="D4" s="479">
        <f>huishoudens!D8</f>
        <v>96962.046217757525</v>
      </c>
      <c r="E4" s="479">
        <f>huishoudens!E8</f>
        <v>9150.420874247091</v>
      </c>
      <c r="F4" s="479">
        <f>huishoudens!F8</f>
        <v>42992.692712031247</v>
      </c>
      <c r="G4" s="479">
        <f>huishoudens!G8</f>
        <v>0</v>
      </c>
      <c r="H4" s="479">
        <f>huishoudens!H8</f>
        <v>0</v>
      </c>
      <c r="I4" s="479">
        <f>huishoudens!I8</f>
        <v>0</v>
      </c>
      <c r="J4" s="479">
        <f>huishoudens!J8</f>
        <v>932.11692943658511</v>
      </c>
      <c r="K4" s="479">
        <f>huishoudens!K8</f>
        <v>0</v>
      </c>
      <c r="L4" s="479">
        <f>huishoudens!L8</f>
        <v>0</v>
      </c>
      <c r="M4" s="479">
        <f>huishoudens!M8</f>
        <v>0</v>
      </c>
      <c r="N4" s="479">
        <f>huishoudens!N8</f>
        <v>19126.415035636928</v>
      </c>
      <c r="O4" s="479">
        <f>huishoudens!O8</f>
        <v>612.82666666666671</v>
      </c>
      <c r="P4" s="480">
        <f>huishoudens!P8</f>
        <v>877.06666666666661</v>
      </c>
      <c r="Q4" s="481">
        <f>SUM(B4:P4)</f>
        <v>225945.65590624628</v>
      </c>
    </row>
    <row r="5" spans="1:17">
      <c r="A5" s="478" t="s">
        <v>156</v>
      </c>
      <c r="B5" s="479">
        <f ca="1">tertiair!B16</f>
        <v>50886.420000000006</v>
      </c>
      <c r="C5" s="479">
        <f ca="1">tertiair!C16</f>
        <v>0</v>
      </c>
      <c r="D5" s="479">
        <f ca="1">tertiair!D16</f>
        <v>95284.527133084877</v>
      </c>
      <c r="E5" s="479">
        <f>tertiair!E16</f>
        <v>520.59069131425213</v>
      </c>
      <c r="F5" s="479">
        <f ca="1">tertiair!F16</f>
        <v>7665.256540186796</v>
      </c>
      <c r="G5" s="479">
        <f>tertiair!G16</f>
        <v>0</v>
      </c>
      <c r="H5" s="479">
        <f>tertiair!H16</f>
        <v>0</v>
      </c>
      <c r="I5" s="479">
        <f>tertiair!I16</f>
        <v>0</v>
      </c>
      <c r="J5" s="479">
        <f>tertiair!J16</f>
        <v>0</v>
      </c>
      <c r="K5" s="479">
        <f>tertiair!K16</f>
        <v>0</v>
      </c>
      <c r="L5" s="479">
        <f ca="1">tertiair!L16</f>
        <v>0</v>
      </c>
      <c r="M5" s="479">
        <f>tertiair!M16</f>
        <v>0</v>
      </c>
      <c r="N5" s="479">
        <f ca="1">tertiair!N16</f>
        <v>4646.5841028306795</v>
      </c>
      <c r="O5" s="479">
        <f>tertiair!O16</f>
        <v>4.6900000000000004</v>
      </c>
      <c r="P5" s="480">
        <f>tertiair!P16</f>
        <v>19.066666666666666</v>
      </c>
      <c r="Q5" s="478">
        <f t="shared" ref="Q5:Q13" ca="1" si="0">SUM(B5:P5)</f>
        <v>159027.13513408328</v>
      </c>
    </row>
    <row r="6" spans="1:17">
      <c r="A6" s="478" t="s">
        <v>194</v>
      </c>
      <c r="B6" s="479">
        <f>'openbare verlichting'!B8</f>
        <v>2437.6819999999998</v>
      </c>
      <c r="C6" s="479"/>
      <c r="D6" s="479"/>
      <c r="E6" s="479"/>
      <c r="F6" s="479"/>
      <c r="G6" s="479"/>
      <c r="H6" s="479"/>
      <c r="I6" s="479"/>
      <c r="J6" s="479"/>
      <c r="K6" s="479"/>
      <c r="L6" s="479"/>
      <c r="M6" s="479"/>
      <c r="N6" s="479"/>
      <c r="O6" s="479"/>
      <c r="P6" s="480"/>
      <c r="Q6" s="478">
        <f t="shared" si="0"/>
        <v>2437.6819999999998</v>
      </c>
    </row>
    <row r="7" spans="1:17">
      <c r="A7" s="478" t="s">
        <v>112</v>
      </c>
      <c r="B7" s="479">
        <f>landbouw!B8</f>
        <v>1941.2584999999999</v>
      </c>
      <c r="C7" s="479">
        <f>landbouw!C8</f>
        <v>79.071428571428584</v>
      </c>
      <c r="D7" s="479">
        <f>landbouw!D8</f>
        <v>13245.984629373987</v>
      </c>
      <c r="E7" s="479">
        <f>landbouw!E8</f>
        <v>17.980749300799108</v>
      </c>
      <c r="F7" s="479">
        <f>landbouw!F8</f>
        <v>4925.3426238647444</v>
      </c>
      <c r="G7" s="479">
        <f>landbouw!G8</f>
        <v>0</v>
      </c>
      <c r="H7" s="479">
        <f>landbouw!H8</f>
        <v>0</v>
      </c>
      <c r="I7" s="479">
        <f>landbouw!I8</f>
        <v>0</v>
      </c>
      <c r="J7" s="479">
        <f>landbouw!J8</f>
        <v>297.61659255808996</v>
      </c>
      <c r="K7" s="479">
        <f>landbouw!K8</f>
        <v>0</v>
      </c>
      <c r="L7" s="479">
        <f>landbouw!L8</f>
        <v>0</v>
      </c>
      <c r="M7" s="479">
        <f>landbouw!M8</f>
        <v>0</v>
      </c>
      <c r="N7" s="479">
        <f>landbouw!N8</f>
        <v>0</v>
      </c>
      <c r="O7" s="479">
        <f>landbouw!O8</f>
        <v>0</v>
      </c>
      <c r="P7" s="480">
        <f>landbouw!P8</f>
        <v>0</v>
      </c>
      <c r="Q7" s="478">
        <f t="shared" si="0"/>
        <v>20507.254523669049</v>
      </c>
    </row>
    <row r="8" spans="1:17">
      <c r="A8" s="478" t="s">
        <v>650</v>
      </c>
      <c r="B8" s="479">
        <f>industrie!B18</f>
        <v>162372.329</v>
      </c>
      <c r="C8" s="479">
        <f>industrie!C18</f>
        <v>5625</v>
      </c>
      <c r="D8" s="479">
        <f>industrie!D18</f>
        <v>174801.67863067432</v>
      </c>
      <c r="E8" s="479">
        <f>industrie!E18</f>
        <v>9247.5485488733284</v>
      </c>
      <c r="F8" s="479">
        <f>industrie!F18</f>
        <v>52782.827390924416</v>
      </c>
      <c r="G8" s="479">
        <f>industrie!G18</f>
        <v>0</v>
      </c>
      <c r="H8" s="479">
        <f>industrie!H18</f>
        <v>0</v>
      </c>
      <c r="I8" s="479">
        <f>industrie!I18</f>
        <v>0</v>
      </c>
      <c r="J8" s="479">
        <f>industrie!J18</f>
        <v>686.42087478953158</v>
      </c>
      <c r="K8" s="479">
        <f>industrie!K18</f>
        <v>0</v>
      </c>
      <c r="L8" s="479">
        <f>industrie!L18</f>
        <v>0</v>
      </c>
      <c r="M8" s="479">
        <f>industrie!M18</f>
        <v>0</v>
      </c>
      <c r="N8" s="479">
        <f>industrie!N18</f>
        <v>30291.12271180228</v>
      </c>
      <c r="O8" s="479">
        <f>industrie!O18</f>
        <v>0</v>
      </c>
      <c r="P8" s="480">
        <f>industrie!P18</f>
        <v>0</v>
      </c>
      <c r="Q8" s="478">
        <f t="shared" si="0"/>
        <v>435806.92715706385</v>
      </c>
    </row>
    <row r="9" spans="1:17" s="484" customFormat="1">
      <c r="A9" s="482" t="s">
        <v>571</v>
      </c>
      <c r="B9" s="483">
        <f>transport!B14</f>
        <v>26.364740527318908</v>
      </c>
      <c r="C9" s="483">
        <f>transport!C14</f>
        <v>0</v>
      </c>
      <c r="D9" s="483">
        <f>transport!D14</f>
        <v>69.153256626680502</v>
      </c>
      <c r="E9" s="483">
        <f>transport!E14</f>
        <v>440.84799556715132</v>
      </c>
      <c r="F9" s="483">
        <f>transport!F14</f>
        <v>0</v>
      </c>
      <c r="G9" s="483">
        <f>transport!G14</f>
        <v>136509.60065184656</v>
      </c>
      <c r="H9" s="483">
        <f>transport!H14</f>
        <v>26146.747749740745</v>
      </c>
      <c r="I9" s="483">
        <f>transport!I14</f>
        <v>0</v>
      </c>
      <c r="J9" s="483">
        <f>transport!J14</f>
        <v>0</v>
      </c>
      <c r="K9" s="483">
        <f>transport!K14</f>
        <v>0</v>
      </c>
      <c r="L9" s="483">
        <f>transport!L14</f>
        <v>0</v>
      </c>
      <c r="M9" s="483">
        <f>transport!M14</f>
        <v>8701.3535953898972</v>
      </c>
      <c r="N9" s="483">
        <f>transport!N14</f>
        <v>0</v>
      </c>
      <c r="O9" s="483">
        <f>transport!O14</f>
        <v>0</v>
      </c>
      <c r="P9" s="483">
        <f>transport!P14</f>
        <v>0</v>
      </c>
      <c r="Q9" s="482">
        <f>SUM(B9:P9)</f>
        <v>171894.06798969835</v>
      </c>
    </row>
    <row r="10" spans="1:17">
      <c r="A10" s="478" t="s">
        <v>561</v>
      </c>
      <c r="B10" s="479">
        <f>transport!B54</f>
        <v>0</v>
      </c>
      <c r="C10" s="479">
        <f>transport!C54</f>
        <v>0</v>
      </c>
      <c r="D10" s="479">
        <f>transport!D54</f>
        <v>0</v>
      </c>
      <c r="E10" s="479">
        <f>transport!E54</f>
        <v>0</v>
      </c>
      <c r="F10" s="479">
        <f>transport!F54</f>
        <v>0</v>
      </c>
      <c r="G10" s="479">
        <f>transport!G54</f>
        <v>2447.0573226850915</v>
      </c>
      <c r="H10" s="479">
        <f>transport!H54</f>
        <v>0</v>
      </c>
      <c r="I10" s="479">
        <f>transport!I54</f>
        <v>0</v>
      </c>
      <c r="J10" s="479">
        <f>transport!J54</f>
        <v>0</v>
      </c>
      <c r="K10" s="479">
        <f>transport!K54</f>
        <v>0</v>
      </c>
      <c r="L10" s="479">
        <f>transport!L54</f>
        <v>0</v>
      </c>
      <c r="M10" s="479">
        <f>transport!M54</f>
        <v>139.54854555528215</v>
      </c>
      <c r="N10" s="479">
        <f>transport!N54</f>
        <v>0</v>
      </c>
      <c r="O10" s="479">
        <f>transport!O54</f>
        <v>0</v>
      </c>
      <c r="P10" s="480">
        <f>transport!P54</f>
        <v>0</v>
      </c>
      <c r="Q10" s="478">
        <f t="shared" si="0"/>
        <v>2586.6058682403736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272956.12504433084</v>
      </c>
      <c r="C14" s="489">
        <f t="shared" ref="C14:Q14" ca="1" si="1">SUM(C4:C13)</f>
        <v>5704.0714285714284</v>
      </c>
      <c r="D14" s="489">
        <f t="shared" ca="1" si="1"/>
        <v>380363.3898675174</v>
      </c>
      <c r="E14" s="489">
        <f t="shared" si="1"/>
        <v>19377.38885930262</v>
      </c>
      <c r="F14" s="489">
        <f t="shared" ca="1" si="1"/>
        <v>108366.11926700721</v>
      </c>
      <c r="G14" s="489">
        <f t="shared" si="1"/>
        <v>138956.65797453164</v>
      </c>
      <c r="H14" s="489">
        <f t="shared" si="1"/>
        <v>26146.747749740745</v>
      </c>
      <c r="I14" s="489">
        <f t="shared" si="1"/>
        <v>0</v>
      </c>
      <c r="J14" s="489">
        <f t="shared" si="1"/>
        <v>1916.1543967842067</v>
      </c>
      <c r="K14" s="489">
        <f t="shared" si="1"/>
        <v>0</v>
      </c>
      <c r="L14" s="489">
        <f t="shared" ca="1" si="1"/>
        <v>0</v>
      </c>
      <c r="M14" s="489">
        <f t="shared" si="1"/>
        <v>8840.9021409451798</v>
      </c>
      <c r="N14" s="489">
        <f t="shared" ca="1" si="1"/>
        <v>54064.12185026989</v>
      </c>
      <c r="O14" s="489">
        <f t="shared" si="1"/>
        <v>617.51666666666677</v>
      </c>
      <c r="P14" s="490">
        <f t="shared" si="1"/>
        <v>896.13333333333333</v>
      </c>
      <c r="Q14" s="490">
        <f t="shared" ca="1" si="1"/>
        <v>1018205.3285790011</v>
      </c>
    </row>
    <row r="16" spans="1:17">
      <c r="A16" s="492" t="s">
        <v>566</v>
      </c>
      <c r="B16" s="842">
        <f ca="1">huishoudens!B10</f>
        <v>0.20820724041366653</v>
      </c>
      <c r="C16" s="842">
        <f ca="1">huishoudens!C10</f>
        <v>0.2375733654061262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11512.209478816996</v>
      </c>
      <c r="C21" s="479">
        <f t="shared" ref="C21:C30" ca="1" si="3">C4*$C$16</f>
        <v>0</v>
      </c>
      <c r="D21" s="479">
        <f t="shared" ref="D21:D30" si="4">D4*$D$16</f>
        <v>19586.333335987023</v>
      </c>
      <c r="E21" s="479">
        <f t="shared" ref="E21:E30" si="5">E4*$E$16</f>
        <v>2077.1455384540895</v>
      </c>
      <c r="F21" s="479">
        <f t="shared" ref="F21:F30" si="6">F4*$F$16</f>
        <v>11479.048954112344</v>
      </c>
      <c r="G21" s="479">
        <f t="shared" ref="G21:G30" si="7">G4*$G$16</f>
        <v>0</v>
      </c>
      <c r="H21" s="479">
        <f t="shared" ref="H21:H30" si="8">H4*$H$16</f>
        <v>0</v>
      </c>
      <c r="I21" s="479">
        <f t="shared" ref="I21:I30" si="9">I4*$I$16</f>
        <v>0</v>
      </c>
      <c r="J21" s="479">
        <f t="shared" ref="J21:J30" si="10">J4*$J$16</f>
        <v>329.96939302055114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44984.706700391012</v>
      </c>
    </row>
    <row r="22" spans="1:17">
      <c r="A22" s="478" t="s">
        <v>156</v>
      </c>
      <c r="B22" s="479">
        <f t="shared" ca="1" si="2"/>
        <v>10594.921082730811</v>
      </c>
      <c r="C22" s="479">
        <f t="shared" ca="1" si="3"/>
        <v>0</v>
      </c>
      <c r="D22" s="479">
        <f t="shared" ca="1" si="4"/>
        <v>19247.474480883146</v>
      </c>
      <c r="E22" s="479">
        <f t="shared" si="5"/>
        <v>118.17408692833524</v>
      </c>
      <c r="F22" s="479">
        <f t="shared" ca="1" si="6"/>
        <v>2046.6234962298747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32007.193146772166</v>
      </c>
    </row>
    <row r="23" spans="1:17">
      <c r="A23" s="478" t="s">
        <v>194</v>
      </c>
      <c r="B23" s="479">
        <f t="shared" ca="1" si="2"/>
        <v>507.54304222606743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507.54304222606743</v>
      </c>
    </row>
    <row r="24" spans="1:17">
      <c r="A24" s="478" t="s">
        <v>112</v>
      </c>
      <c r="B24" s="479">
        <f t="shared" ca="1" si="2"/>
        <v>404.18407521457368</v>
      </c>
      <c r="C24" s="479">
        <f t="shared" ca="1" si="3"/>
        <v>18.78526539318441</v>
      </c>
      <c r="D24" s="479">
        <f t="shared" si="4"/>
        <v>2675.6888951335454</v>
      </c>
      <c r="E24" s="479">
        <f t="shared" si="5"/>
        <v>4.0816300912813972</v>
      </c>
      <c r="F24" s="479">
        <f t="shared" si="6"/>
        <v>1315.0664805718868</v>
      </c>
      <c r="G24" s="479">
        <f t="shared" si="7"/>
        <v>0</v>
      </c>
      <c r="H24" s="479">
        <f t="shared" si="8"/>
        <v>0</v>
      </c>
      <c r="I24" s="479">
        <f t="shared" si="9"/>
        <v>0</v>
      </c>
      <c r="J24" s="479">
        <f t="shared" si="10"/>
        <v>105.35627376556384</v>
      </c>
      <c r="K24" s="479">
        <f t="shared" si="11"/>
        <v>0</v>
      </c>
      <c r="L24" s="479">
        <f t="shared" si="12"/>
        <v>0</v>
      </c>
      <c r="M24" s="479">
        <f t="shared" si="13"/>
        <v>0</v>
      </c>
      <c r="N24" s="479">
        <f t="shared" si="14"/>
        <v>0</v>
      </c>
      <c r="O24" s="479">
        <f t="shared" si="15"/>
        <v>0</v>
      </c>
      <c r="P24" s="480">
        <f t="shared" si="16"/>
        <v>0</v>
      </c>
      <c r="Q24" s="478">
        <f t="shared" ca="1" si="17"/>
        <v>4523.1626201700356</v>
      </c>
    </row>
    <row r="25" spans="1:17">
      <c r="A25" s="478" t="s">
        <v>650</v>
      </c>
      <c r="B25" s="479">
        <f t="shared" ca="1" si="2"/>
        <v>33807.094540629958</v>
      </c>
      <c r="C25" s="479">
        <f t="shared" ca="1" si="3"/>
        <v>1336.3501804094599</v>
      </c>
      <c r="D25" s="479">
        <f t="shared" si="4"/>
        <v>35309.939083396217</v>
      </c>
      <c r="E25" s="479">
        <f t="shared" si="5"/>
        <v>2099.1935205942455</v>
      </c>
      <c r="F25" s="479">
        <f t="shared" si="6"/>
        <v>14093.014913376819</v>
      </c>
      <c r="G25" s="479">
        <f t="shared" si="7"/>
        <v>0</v>
      </c>
      <c r="H25" s="479">
        <f t="shared" si="8"/>
        <v>0</v>
      </c>
      <c r="I25" s="479">
        <f t="shared" si="9"/>
        <v>0</v>
      </c>
      <c r="J25" s="479">
        <f t="shared" si="10"/>
        <v>242.99298967549416</v>
      </c>
      <c r="K25" s="479">
        <f t="shared" si="11"/>
        <v>0</v>
      </c>
      <c r="L25" s="479">
        <f t="shared" si="12"/>
        <v>0</v>
      </c>
      <c r="M25" s="479">
        <f t="shared" si="13"/>
        <v>0</v>
      </c>
      <c r="N25" s="479">
        <f t="shared" si="14"/>
        <v>0</v>
      </c>
      <c r="O25" s="479">
        <f t="shared" si="15"/>
        <v>0</v>
      </c>
      <c r="P25" s="480">
        <f t="shared" si="16"/>
        <v>0</v>
      </c>
      <c r="Q25" s="478">
        <f t="shared" ca="1" si="17"/>
        <v>86888.585228082185</v>
      </c>
    </row>
    <row r="26" spans="1:17" s="484" customFormat="1">
      <c r="A26" s="482" t="s">
        <v>571</v>
      </c>
      <c r="B26" s="836">
        <f t="shared" ca="1" si="2"/>
        <v>5.4893298694154256</v>
      </c>
      <c r="C26" s="483">
        <f t="shared" ca="1" si="3"/>
        <v>0</v>
      </c>
      <c r="D26" s="483">
        <f t="shared" si="4"/>
        <v>13.968957838589462</v>
      </c>
      <c r="E26" s="483">
        <f t="shared" si="5"/>
        <v>100.07249499374335</v>
      </c>
      <c r="F26" s="483">
        <f t="shared" si="6"/>
        <v>0</v>
      </c>
      <c r="G26" s="483">
        <f t="shared" si="7"/>
        <v>36448.063374043035</v>
      </c>
      <c r="H26" s="483">
        <f t="shared" si="8"/>
        <v>6510.5401896854455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43078.134346430226</v>
      </c>
    </row>
    <row r="27" spans="1:17">
      <c r="A27" s="478" t="s">
        <v>561</v>
      </c>
      <c r="B27" s="479">
        <f t="shared" ca="1" si="2"/>
        <v>0</v>
      </c>
      <c r="C27" s="479">
        <f t="shared" ca="1" si="3"/>
        <v>0</v>
      </c>
      <c r="D27" s="479">
        <f t="shared" si="4"/>
        <v>0</v>
      </c>
      <c r="E27" s="479">
        <f t="shared" si="5"/>
        <v>0</v>
      </c>
      <c r="F27" s="479">
        <f t="shared" si="6"/>
        <v>0</v>
      </c>
      <c r="G27" s="479">
        <f t="shared" si="7"/>
        <v>653.3643051569195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653.3643051569195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56831.441549487819</v>
      </c>
      <c r="C31" s="489">
        <f t="shared" ca="1" si="18"/>
        <v>1355.1354458026442</v>
      </c>
      <c r="D31" s="489">
        <f t="shared" ca="1" si="18"/>
        <v>76833.404753238516</v>
      </c>
      <c r="E31" s="489">
        <f t="shared" si="18"/>
        <v>4398.6672710616949</v>
      </c>
      <c r="F31" s="489">
        <f t="shared" ca="1" si="18"/>
        <v>28933.753844290924</v>
      </c>
      <c r="G31" s="489">
        <f t="shared" si="18"/>
        <v>37101.427679199951</v>
      </c>
      <c r="H31" s="489">
        <f t="shared" si="18"/>
        <v>6510.5401896854455</v>
      </c>
      <c r="I31" s="489">
        <f t="shared" si="18"/>
        <v>0</v>
      </c>
      <c r="J31" s="489">
        <f t="shared" si="18"/>
        <v>678.31865646160918</v>
      </c>
      <c r="K31" s="489">
        <f t="shared" si="18"/>
        <v>0</v>
      </c>
      <c r="L31" s="489">
        <f t="shared" ca="1" si="18"/>
        <v>0</v>
      </c>
      <c r="M31" s="489">
        <f t="shared" si="18"/>
        <v>0</v>
      </c>
      <c r="N31" s="489">
        <f t="shared" ca="1" si="18"/>
        <v>0</v>
      </c>
      <c r="O31" s="489">
        <f t="shared" si="18"/>
        <v>0</v>
      </c>
      <c r="P31" s="490">
        <f t="shared" si="18"/>
        <v>0</v>
      </c>
      <c r="Q31" s="490">
        <f t="shared" ca="1" si="18"/>
        <v>212642.68938922862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0.20820724041366653</v>
      </c>
      <c r="C17" s="529">
        <f ca="1">'EF ele_warmte'!B22</f>
        <v>0.2375733654061262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0.20820724041366653</v>
      </c>
      <c r="C17" s="529">
        <f ca="1">'EF ele_warmte'!B22</f>
        <v>0.2375733654061262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0.20820724041366653</v>
      </c>
      <c r="C29" s="530">
        <f ca="1">'EF ele_warmte'!B22</f>
        <v>0.2375733654061262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2018-06-27T09:38:00Z</dcterms:modified>
</cp:coreProperties>
</file>