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O8" i="48"/>
  <c r="O25"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O31"/>
  <c r="F18" i="16"/>
  <c r="G13" i="14" s="1"/>
  <c r="G15" s="1"/>
  <c r="G23" s="1"/>
  <c r="M16" i="18"/>
  <c r="M19" s="1"/>
  <c r="K10" i="14"/>
  <c r="R10" s="1"/>
  <c r="J18" i="16"/>
  <c r="J22" s="1"/>
  <c r="K39" i="14" s="1"/>
  <c r="K41" s="1"/>
  <c r="K53"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Q4"/>
  <c r="N22"/>
  <c r="R11" i="14"/>
  <c r="J21" i="48"/>
  <c r="N25" l="1"/>
  <c r="N31" s="1"/>
  <c r="N14"/>
  <c r="O13" i="14"/>
  <c r="O15" s="1"/>
  <c r="K13"/>
  <c r="K15" s="1"/>
  <c r="K23" s="1"/>
  <c r="K55" s="1"/>
  <c r="F22" i="16"/>
  <c r="G39" i="14" s="1"/>
  <c r="G41" s="1"/>
  <c r="N22" i="16"/>
  <c r="O39" i="14" s="1"/>
  <c r="O41" s="1"/>
  <c r="O53" s="1"/>
  <c r="F8" i="48"/>
  <c r="F14" s="1"/>
  <c r="E14"/>
  <c r="H55" i="14"/>
  <c r="E55"/>
  <c r="C78"/>
  <c r="C81" s="1"/>
  <c r="J14" i="48"/>
  <c r="J31"/>
  <c r="Q8"/>
  <c r="Q14" s="1"/>
  <c r="R19" i="14"/>
  <c r="R20" s="1"/>
  <c r="H14" i="48"/>
  <c r="G31"/>
  <c r="H26"/>
  <c r="H31" s="1"/>
  <c r="F55" i="14"/>
  <c r="G53"/>
  <c r="G55" s="1"/>
  <c r="O69" s="1"/>
  <c r="B9" i="6" s="1"/>
  <c r="B12" s="1"/>
  <c r="M53" i="14"/>
  <c r="M55" s="1"/>
  <c r="C12" i="13"/>
  <c r="D37" i="14" s="1"/>
  <c r="D41" s="1"/>
  <c r="C23" i="48"/>
  <c r="C24"/>
  <c r="C27"/>
  <c r="C28"/>
  <c r="C22"/>
  <c r="C25"/>
  <c r="C29"/>
  <c r="C21"/>
  <c r="C26"/>
  <c r="R13" i="14"/>
  <c r="R15" s="1"/>
  <c r="F25" i="48"/>
  <c r="F31" s="1"/>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<sst xmlns="http://schemas.openxmlformats.org/spreadsheetml/2006/main" count="1950" uniqueCount="834">
  <si>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</si>
  <si>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</si>
  <si>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</si>
  <si>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</si>
  <si>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</si>
  <si>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</si>
  <si>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</si>
  <si>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</si>
  <si>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</si>
  <si>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</si>
  <si>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</si>
  <si>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</si>
  <si>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</si>
  <si>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</si>
  <si>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</si>
  <si>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</si>
  <si>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</si>
  <si>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</si>
  <si>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</si>
  <si>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</si>
  <si>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</si>
  <si>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</si>
  <si>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</si>
  <si>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</si>
  <si>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</si>
  <si>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</si>
  <si>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</si>
  <si>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</si>
  <si>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</si>
  <si>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</si>
  <si>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</si>
  <si>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</si>
  <si>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</si>
  <si>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</si>
  <si>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</si>
  <si>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</si>
  <si>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</si>
  <si>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</si>
  <si>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</si>
  <si>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</si>
  <si>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</si>
  <si>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</si>
  <si>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</si>
  <si>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</si>
  <si>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</si>
  <si>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</si>
  <si>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</si>
  <si>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</si>
  <si>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</si>
  <si>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</si>
  <si>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</si>
  <si>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</si>
  <si>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</si>
  <si>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</si>
  <si>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</si>
  <si>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</si>
  <si>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</si>
  <si>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</si>
  <si>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</si>
  <si>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</si>
  <si>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</si>
  <si>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</si>
  <si>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</si>
  <si>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</si>
  <si>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</si>
  <si>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</si>
  <si>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</si>
  <si>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</si>
  <si>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</si>
  <si>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</si>
  <si>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</si>
  <si>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</si>
  <si>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</si>
  <si>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</si>
  <si>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</si>
  <si>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</si>
  <si>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</si>
  <si>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</si>
  <si>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</si>
  <si>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</si>
  <si>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</si>
  <si>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</si>
  <si>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</si>
  <si>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</si>
  <si>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</si>
  <si>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</si>
  <si>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</si>
  <si>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</si>
  <si>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</si>
  <si>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</si>
  <si>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</si>
  <si>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</si>
  <si>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</si>
  <si>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</si>
  <si>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</si>
  <si>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</si>
  <si>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</si>
  <si>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</si>
  <si>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</si>
  <si>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</si>
  <si>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</si>
  <si>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</si>
  <si>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</si>
  <si>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</si>
  <si>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</si>
  <si>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</si>
  <si>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</si>
  <si>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</si>
  <si>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</si>
  <si>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</si>
  <si>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</si>
  <si>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</si>
  <si>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</si>
  <si>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</si>
  <si>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</si>
  <si>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</si>
  <si>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</si>
  <si>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</si>
  <si>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</si>
  <si>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</si>
  <si>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</si>
  <si>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</si>
  <si>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</si>
  <si>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</si>
  <si>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</si>
  <si>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</si>
  <si>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</si>
  <si>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</si>
  <si>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</si>
  <si>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</si>
  <si>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</si>
  <si>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</si>
  <si>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</si>
  <si>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</si>
  <si>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</si>
  <si>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</si>
  <si>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</si>
  <si>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</si>
  <si>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</si>
  <si>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</si>
  <si>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</si>
  <si>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</si>
  <si>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</si>
  <si>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</si>
  <si>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</si>
  <si>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</si>
  <si>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</si>
  <si>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</si>
  <si>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</si>
  <si>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</si>
  <si>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</si>
  <si>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</si>
  <si>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</si>
  <si>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</si>
  <si>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</si>
  <si>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</si>
  <si>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</si>
  <si>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</si>
  <si>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</si>
  <si>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</si>
  <si>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</si>
  <si>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</si>
  <si>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</si>
  <si>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</si>
  <si>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</si>
  <si>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</si>
  <si>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</si>
  <si>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</si>
  <si>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</si>
  <si>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</si>
  <si>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</si>
  <si>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</si>
  <si>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</si>
  <si>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</si>
  <si>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</si>
  <si>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</si>
  <si>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</si>
  <si>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</si>
  <si>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</si>
  <si>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</si>
  <si>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</si>
  <si>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</si>
  <si>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</si>
  <si>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</si>
  <si>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</si>
  <si>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</si>
  <si>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</si>
  <si>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</si>
  <si>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</si>
  <si>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</si>
  <si>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</si>
  <si>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</si>
  <si>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</si>
  <si>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</si>
  <si>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</si>
  <si>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</si>
  <si>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</si>
  <si>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</si>
  <si>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</si>
  <si>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</si>
  <si>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</si>
  <si>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</si>
  <si>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</si>
  <si>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</si>
  <si>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</si>
  <si>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</si>
  <si>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</si>
  <si>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</si>
  <si>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</si>
  <si>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</si>
  <si>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</si>
  <si>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</si>
  <si>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</si>
  <si>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</si>
  <si>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</si>
  <si>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</si>
  <si>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</si>
  <si>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</si>
  <si>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</si>
  <si>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</si>
  <si>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</si>
  <si>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</si>
  <si>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</si>
  <si>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</si>
  <si>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</si>
  <si>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</si>
  <si>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</si>
  <si>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</si>
  <si>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</si>
  <si>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</si>
  <si>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</si>
  <si>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</si>
  <si>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</si>
  <si>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</si>
  <si>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</si>
  <si>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</si>
  <si>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</si>
  <si>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</si>
  <si>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</si>
  <si>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</si>
  <si>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</si>
  <si>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</si>
  <si>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</si>
  <si>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</si>
  <si>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</si>
  <si>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</si>
  <si>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</si>
  <si>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</si>
  <si>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</si>
  <si>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</si>
  <si>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</si>
  <si>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</si>
  <si>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</si>
  <si>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</si>
  <si>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</si>
  <si>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</si>
  <si>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</si>
  <si>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</si>
  <si>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</si>
  <si>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</si>
  <si>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</si>
  <si>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</si>
  <si>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</si>
  <si>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</si>
  <si>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</si>
  <si>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</si>
  <si>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</si>
  <si>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</si>
  <si>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</si>
  <si>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</si>
  <si>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</si>
  <si>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</si>
  <si>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</si>
  <si>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</si>
  <si>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</si>
  <si>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</si>
  <si>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</si>
  <si>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</si>
  <si>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</si>
  <si>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</si>
  <si>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</si>
  <si>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</si>
  <si>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</si>
  <si>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</si>
  <si>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</si>
  <si>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</si>
  <si>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</si>
  <si>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</si>
  <si>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</si>
  <si>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</si>
  <si>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</si>
  <si>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</si>
  <si>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</si>
  <si>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</si>
  <si>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</si>
  <si>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</si>
  <si>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</si>
  <si>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</si>
  <si>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</si>
  <si>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</si>
  <si>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</si>
  <si>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</si>
  <si>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</si>
  <si>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</si>
  <si>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</si>
  <si>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</si>
  <si>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</si>
  <si>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</si>
  <si>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</si>
  <si>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</si>
  <si>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</si>
  <si>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</si>
  <si>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</si>
  <si>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</si>
  <si>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</si>
  <si>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</si>
  <si>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</si>
  <si>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</si>
  <si>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</si>
  <si>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</si>
  <si>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</si>
  <si>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</si>
  <si>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</si>
  <si>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</si>
  <si>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</si>
  <si>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</si>
  <si>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</si>
  <si>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</si>
  <si>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</si>
  <si>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</si>
  <si>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</si>
  <si>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</si>
  <si>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</si>
  <si>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</si>
  <si>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</si>
  <si>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</si>
  <si>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</si>
  <si>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</si>
  <si>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</si>
  <si>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</si>
  <si>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</si>
  <si>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</si>
  <si>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</si>
  <si>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</si>
  <si>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</si>
  <si>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</si>
  <si>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</si>
  <si>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</si>
  <si>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</si>
  <si>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</si>
  <si>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</si>
  <si>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</si>
  <si>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</si>
  <si>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</si>
  <si>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</si>
  <si>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</si>
  <si>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</si>
  <si>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</si>
  <si>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</si>
  <si>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</si>
  <si>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</si>
  <si>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</si>
  <si>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</si>
  <si>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</si>
  <si>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</si>
  <si>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</si>
  <si>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</si>
  <si>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</si>
  <si>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</si>
  <si>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</si>
  <si>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</si>
  <si>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</si>
  <si>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</si>
  <si>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</si>
  <si>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</si>
  <si>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</si>
  <si>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</si>
  <si>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</si>
  <si>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</si>
  <si>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</si>
  <si>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</si>
  <si>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</si>
  <si>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</si>
  <si>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</si>
  <si>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</si>
  <si>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</si>
  <si>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</si>
  <si>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</si>
  <si>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</si>
  <si>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</si>
  <si>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</si>
  <si>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</si>
  <si>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</si>
  <si>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</si>
  <si>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</si>
  <si>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</si>
  <si>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</si>
  <si>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</si>
  <si>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</si>
  <si>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</si>
  <si>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</si>
  <si>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</si>
  <si>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</si>
  <si>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</si>
  <si>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</si>
  <si>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</si>
  <si>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</si>
  <si>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</si>
  <si>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</si>
  <si>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</si>
  <si>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</si>
  <si>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</si>
  <si>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</si>
  <si>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</si>
  <si>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</si>
  <si>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</si>
  <si>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</si>
  <si>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</si>
  <si>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</si>
  <si>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</si>
  <si>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</si>
  <si>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</si>
  <si>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</si>
  <si>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</si>
  <si>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</si>
  <si>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</si>
  <si>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</si>
  <si>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</si>
  <si>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</si>
  <si>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</si>
  <si>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</si>
  <si>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</si>
  <si>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</si>
  <si>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</si>
  <si>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</si>
  <si>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</si>
  <si>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</si>
  <si>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</si>
  <si>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</si>
  <si>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</si>
  <si>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</si>
  <si>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</si>
  <si>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</si>
  <si>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</si>
  <si>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</si>
  <si>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</si>
  <si>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</si>
  <si>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</si>
  <si>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</si>
  <si>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</si>
  <si>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</si>
  <si>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</si>
  <si>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</si>
  <si>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</si>
  <si>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</si>
  <si>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</si>
  <si>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</si>
  <si>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</si>
  <si>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</si>
  <si>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</si>
  <si>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</si>
  <si>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</si>
  <si>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</si>
  <si>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</si>
  <si>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</si>
  <si>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</si>
  <si>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</si>
  <si>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</si>
  <si>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</si>
  <si>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</si>
  <si>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</si>
  <si>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</si>
  <si>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</si>
  <si>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</si>
  <si>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</si>
  <si>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</si>
  <si>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</si>
  <si>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</si>
  <si>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</si>
  <si>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</si>
  <si>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</si>
  <si>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</si>
  <si>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</si>
  <si>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</si>
  <si>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</si>
  <si>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</si>
  <si>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</si>
  <si>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</si>
  <si>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</si>
  <si>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</si>
  <si>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</si>
  <si>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</si>
  <si>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</si>
  <si>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</si>
  <si>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</si>
  <si>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</si>
  <si>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</si>
  <si>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</si>
  <si>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</si>
  <si>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</si>
  <si>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</si>
  <si>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</si>
  <si>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</si>
  <si>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</si>
  <si>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</si>
  <si>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</si>
  <si>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</si>
  <si>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</si>
  <si>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</si>
  <si>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</si>
  <si>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</si>
  <si>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</si>
  <si>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</si>
  <si>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</si>
  <si>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</si>
  <si>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</si>
  <si>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</si>
  <si>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</si>
  <si>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</si>
  <si>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</si>
  <si>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</si>
  <si>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</si>
  <si>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</si>
  <si>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</si>
  <si>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</si>
  <si>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</si>
  <si>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</si>
  <si>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</si>
  <si>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</si>
  <si>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</si>
  <si>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</si>
  <si>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</si>
  <si>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</si>
  <si>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</si>
  <si>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</si>
  <si>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</si>
  <si>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</si>
  <si>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</si>
  <si>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</si>
  <si>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</si>
  <si>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</si>
  <si>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</si>
  <si>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</si>
  <si>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</si>
  <si>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</si>
  <si>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</si>
  <si>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</si>
  <si>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</si>
  <si>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</si>
  <si>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</si>
  <si>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</si>
  <si>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</si>
  <si>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</si>
  <si>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</si>
  <si>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</si>
  <si>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</si>
  <si>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</si>
  <si>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</si>
  <si>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</si>
  <si>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</si>
  <si>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</si>
  <si>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</si>
  <si>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</si>
  <si>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</si>
  <si>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</si>
  <si>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</si>
  <si>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</si>
  <si>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</si>
  <si>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</si>
  <si>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</si>
  <si>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</si>
  <si>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</si>
  <si>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</si>
  <si>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</si>
  <si>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</si>
  <si>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</si>
  <si>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</si>
  <si>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</si>
  <si>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</si>
  <si>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</si>
  <si>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</si>
  <si>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</si>
  <si>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</si>
  <si>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</si>
  <si>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</si>
  <si>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</si>
  <si>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</si>
  <si>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</si>
  <si>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</si>
  <si>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</si>
  <si>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</si>
  <si>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</si>
  <si>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</si>
  <si>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</si>
  <si>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</si>
  <si>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</si>
  <si>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</si>
  <si>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</si>
  <si>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</si>
  <si>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</si>
  <si>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</si>
  <si>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</si>
  <si>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</si>
  <si>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</si>
  <si>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</si>
  <si>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</si>
  <si>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</si>
  <si>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</si>
  <si>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</si>
  <si>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</si>
  <si>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</si>
  <si>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</si>
  <si>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</si>
  <si>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</si>
  <si>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</si>
  <si>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</si>
  <si>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</si>
  <si>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</si>
  <si>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</si>
  <si>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</si>
  <si>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</si>
  <si>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</si>
  <si>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</si>
  <si>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</si>
  <si>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</si>
  <si>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</si>
  <si>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</si>
  <si>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</si>
  <si>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</si>
  <si>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</si>
  <si>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</si>
  <si>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</si>
  <si>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</si>
  <si>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</si>
  <si>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</si>
  <si>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</si>
  <si>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</si>
  <si>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</si>
  <si>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</si>
  <si>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</si>
  <si>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</si>
  <si>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</si>
  <si>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</si>
  <si>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</si>
  <si>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</si>
  <si>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</si>
  <si>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</si>
  <si>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</si>
  <si>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</si>
  <si>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</si>
  <si>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</si>
  <si>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</si>
  <si>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</si>
  <si>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</si>
  <si>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</si>
  <si>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</si>
  <si>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</si>
  <si>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</si>
  <si>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</si>
  <si>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</si>
  <si>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</si>
  <si>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</si>
  <si>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</si>
  <si>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</si>
  <si>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</si>
  <si>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</si>
  <si>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</si>
  <si>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</si>
  <si>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</si>
  <si>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</si>
  <si>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</si>
  <si>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</si>
  <si>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</si>
  <si>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</si>
  <si>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</si>
  <si>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</si>
  <si>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</si>
  <si>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</si>
  <si>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</si>
  <si>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</si>
  <si>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</si>
  <si>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</si>
  <si>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</si>
  <si>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</si>
  <si>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</si>
  <si>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</si>
  <si>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</si>
  <si>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</si>
  <si>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</si>
  <si>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</si>
  <si>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</si>
  <si>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</si>
  <si>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</si>
  <si>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</si>
  <si>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</si>
  <si>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</si>
  <si>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</si>
  <si>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</si>
  <si>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</si>
  <si>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</si>
  <si>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</si>
  <si>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</si>
  <si>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</si>
  <si>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</si>
  <si>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</si>
  <si>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</si>
  <si>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</si>
  <si>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</si>
  <si>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</si>
  <si>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</si>
  <si>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</si>
  <si>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</si>
  <si>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</si>
  <si>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</si>
  <si>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</si>
  <si>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</si>
  <si>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</si>
  <si>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</si>
  <si>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</si>
  <si>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</si>
  <si>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</si>
  <si>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</si>
  <si>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</si>
  <si>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</si>
  <si>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</si>
  <si>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</si>
  <si>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</si>
  <si>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</si>
  <si>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</si>
  <si>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</si>
  <si>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</si>
  <si>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</si>
  <si>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</si>
  <si>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</si>
  <si>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</si>
  <si>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</si>
  <si>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</si>
  <si>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</si>
  <si>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</si>
  <si>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</si>
  <si>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</si>
  <si>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</si>
  <si>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</si>
  <si>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</si>
  <si>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</si>
  <si>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</si>
  <si>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</si>
  <si>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</si>
  <si>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</si>
  <si>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</si>
  <si>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</si>
  <si>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</si>
  <si>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</si>
  <si>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</si>
  <si>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</si>
  <si>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</si>
  <si>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</si>
  <si>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</si>
  <si>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</si>
  <si>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</si>
  <si>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</si>
  <si>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</si>
  <si>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</si>
  <si>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</si>
  <si>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</si>
  <si>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</si>
  <si>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</si>
  <si>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</si>
  <si>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</si>
  <si>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</si>
  <si>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</si>
  <si>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</si>
  <si>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</si>
  <si>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</si>
  <si>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</si>
  <si>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</si>
  <si>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</si>
  <si>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</si>
  <si>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</si>
  <si>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</si>
  <si>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</si>
  <si>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</si>
  <si>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</si>
  <si>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</si>
  <si>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</si>
  <si>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</si>
  <si>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</si>
  <si>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</si>
  <si>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</si>
  <si>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</si>
  <si>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</si>
  <si>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</si>
  <si>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</si>
  <si>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</si>
  <si>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</si>
  <si>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</si>
  <si>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</si>
  <si>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</si>
  <si>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</si>
  <si>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</si>
  <si>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</si>
  <si>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</si>
  <si>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</si>
  <si>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</si>
  <si>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</si>
  <si>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</si>
  <si>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</si>
  <si>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</si>
  <si>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</si>
  <si>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</si>
  <si>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</si>
  <si>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</si>
  <si>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</si>
  <si>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</si>
  <si>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</si>
  <si>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</si>
  <si>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</si>
  <si>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</si>
  <si>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</si>
  <si>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</si>
  <si>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</si>
  <si>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</si>
  <si>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</si>
  <si>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</si>
  <si>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</si>
  <si>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</si>
  <si>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44081</t>
  </si>
  <si>
    <t>ZULTE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</si>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</sst>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124930.65186923226</c:v>
                </c:pt>
                <c:pt idx="1">
                  <c:v>32221.441442360323</c:v>
                </c:pt>
                <c:pt idx="2">
                  <c:v>1003.0940000000001</c:v>
                </c:pt>
                <c:pt idx="3">
                  <c:v>5225.0862559687121</c:v>
                </c:pt>
                <c:pt idx="4">
                  <c:v>66601.272180711851</c:v>
                </c:pt>
                <c:pt idx="5">
                  <c:v>62940.225526883791</c:v>
                </c:pt>
                <c:pt idx="6">
                  <c:v>610.28517156638941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77152"/>
        <c:axId val="176178688"/>
      </c:barChart>
      <c:catAx>
        <c:axId val="176177152"/>
        <c:scaling>
          <c:orientation val="minMax"/>
        </c:scaling>
        <c:axPos val="b"/>
        <c:numFmt formatCode="General" sourceLinked="0"/>
        <c:tickLblPos val="nextTo"/>
        <c:crossAx val="176178688"/>
        <c:crosses val="autoZero"/>
        <c:auto val="1"/>
        <c:lblAlgn val="ctr"/>
        <c:lblOffset val="100"/>
      </c:catAx>
      <c:valAx>
        <c:axId val="176178688"/>
        <c:scaling>
          <c:orientation val="minMax"/>
        </c:scaling>
        <c:axPos val="l"/>
        <c:majorGridlines/>
        <c:numFmt formatCode="#,##0" sourceLinked="1"/>
        <c:tickLblPos val="nextTo"/>
        <c:crossAx val="176177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124930.65186923226</c:v>
                </c:pt>
                <c:pt idx="1">
                  <c:v>32221.441442360323</c:v>
                </c:pt>
                <c:pt idx="2">
                  <c:v>1003.0940000000001</c:v>
                </c:pt>
                <c:pt idx="3">
                  <c:v>5225.0862559687121</c:v>
                </c:pt>
                <c:pt idx="4">
                  <c:v>66601.272180711851</c:v>
                </c:pt>
                <c:pt idx="5">
                  <c:v>62940.225526883791</c:v>
                </c:pt>
                <c:pt idx="6">
                  <c:v>610.28517156638941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25499.93871338003</c:v>
                </c:pt>
                <c:pt idx="1">
                  <c:v>6429.141479608631</c:v>
                </c:pt>
                <c:pt idx="2">
                  <c:v>206.13823435580161</c:v>
                </c:pt>
                <c:pt idx="3">
                  <c:v>1277.4723236769785</c:v>
                </c:pt>
                <c:pt idx="4">
                  <c:v>13558.855389259303</c:v>
                </c:pt>
                <c:pt idx="5">
                  <c:v>15771.548631762824</c:v>
                </c:pt>
                <c:pt idx="6">
                  <c:v>154.15512350140176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59072"/>
        <c:axId val="176693632"/>
      </c:barChart>
      <c:catAx>
        <c:axId val="176659072"/>
        <c:scaling>
          <c:orientation val="minMax"/>
        </c:scaling>
        <c:axPos val="b"/>
        <c:numFmt formatCode="General" sourceLinked="0"/>
        <c:tickLblPos val="nextTo"/>
        <c:crossAx val="176693632"/>
        <c:crosses val="autoZero"/>
        <c:auto val="1"/>
        <c:lblAlgn val="ctr"/>
        <c:lblOffset val="100"/>
      </c:catAx>
      <c:valAx>
        <c:axId val="176693632"/>
        <c:scaling>
          <c:orientation val="minMax"/>
        </c:scaling>
        <c:axPos val="l"/>
        <c:majorGridlines/>
        <c:numFmt formatCode="#,##0" sourceLinked="1"/>
        <c:tickLblPos val="nextTo"/>
        <c:crossAx val="1766590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25499.93871338003</c:v>
                </c:pt>
                <c:pt idx="1">
                  <c:v>6429.141479608631</c:v>
                </c:pt>
                <c:pt idx="2">
                  <c:v>206.13823435580161</c:v>
                </c:pt>
                <c:pt idx="3">
                  <c:v>1277.4723236769785</c:v>
                </c:pt>
                <c:pt idx="4">
                  <c:v>13558.855389259303</c:v>
                </c:pt>
                <c:pt idx="5">
                  <c:v>15771.548631762824</c:v>
                </c:pt>
                <c:pt idx="6">
                  <c:v>154.15512350140176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44081</v>
      </c>
      <c r="B6" s="416"/>
      <c r="C6" s="417"/>
    </row>
    <row r="7" spans="1:7" s="414" customFormat="1" ht="15.75" customHeight="1">
      <c r="A7" s="418" t="str">
        <f>txtMunicipality</f>
        <v>ZULTE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44081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6336</v>
      </c>
      <c r="C9" s="342">
        <v>6321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1777</v>
      </c>
    </row>
    <row r="15" spans="1:6">
      <c r="A15" s="348" t="s">
        <v>184</v>
      </c>
      <c r="B15" s="334">
        <v>24</v>
      </c>
    </row>
    <row r="16" spans="1:6">
      <c r="A16" s="348" t="s">
        <v>6</v>
      </c>
      <c r="B16" s="334">
        <v>536</v>
      </c>
    </row>
    <row r="17" spans="1:6">
      <c r="A17" s="348" t="s">
        <v>7</v>
      </c>
      <c r="B17" s="334">
        <v>636</v>
      </c>
    </row>
    <row r="18" spans="1:6">
      <c r="A18" s="348" t="s">
        <v>8</v>
      </c>
      <c r="B18" s="334">
        <v>812</v>
      </c>
    </row>
    <row r="19" spans="1:6">
      <c r="A19" s="348" t="s">
        <v>9</v>
      </c>
      <c r="B19" s="334">
        <v>833</v>
      </c>
    </row>
    <row r="20" spans="1:6">
      <c r="A20" s="348" t="s">
        <v>10</v>
      </c>
      <c r="B20" s="334">
        <v>891</v>
      </c>
    </row>
    <row r="21" spans="1:6">
      <c r="A21" s="348" t="s">
        <v>11</v>
      </c>
      <c r="B21" s="334">
        <v>2027</v>
      </c>
    </row>
    <row r="22" spans="1:6">
      <c r="A22" s="348" t="s">
        <v>12</v>
      </c>
      <c r="B22" s="334">
        <v>17985</v>
      </c>
    </row>
    <row r="23" spans="1:6">
      <c r="A23" s="348" t="s">
        <v>13</v>
      </c>
      <c r="B23" s="334">
        <v>249</v>
      </c>
    </row>
    <row r="24" spans="1:6">
      <c r="A24" s="348" t="s">
        <v>14</v>
      </c>
      <c r="B24" s="334">
        <v>145</v>
      </c>
    </row>
    <row r="25" spans="1:6">
      <c r="A25" s="348" t="s">
        <v>15</v>
      </c>
      <c r="B25" s="334">
        <v>921</v>
      </c>
    </row>
    <row r="26" spans="1:6">
      <c r="A26" s="348" t="s">
        <v>16</v>
      </c>
      <c r="B26" s="334">
        <v>144</v>
      </c>
    </row>
    <row r="27" spans="1:6">
      <c r="A27" s="348" t="s">
        <v>17</v>
      </c>
      <c r="B27" s="334">
        <v>9</v>
      </c>
    </row>
    <row r="28" spans="1:6" s="356" customFormat="1">
      <c r="A28" s="355" t="s">
        <v>18</v>
      </c>
      <c r="B28" s="355">
        <v>70572</v>
      </c>
    </row>
    <row r="29" spans="1:6">
      <c r="A29" s="355" t="s">
        <v>828</v>
      </c>
      <c r="B29" s="355">
        <v>54</v>
      </c>
      <c r="C29" s="356"/>
      <c r="D29" s="356"/>
      <c r="E29" s="356"/>
      <c r="F29" s="356"/>
    </row>
    <row r="30" spans="1:6">
      <c r="A30" s="341" t="s">
        <v>829</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23076.25</v>
      </c>
    </row>
    <row r="39" spans="1:6">
      <c r="A39" s="348" t="s">
        <v>30</v>
      </c>
      <c r="B39" s="348" t="s">
        <v>31</v>
      </c>
      <c r="C39" s="334">
        <v>2659</v>
      </c>
      <c r="D39" s="334">
        <v>35510825.555881798</v>
      </c>
      <c r="E39" s="334">
        <v>6064</v>
      </c>
      <c r="F39" s="334">
        <v>28225736</v>
      </c>
    </row>
    <row r="40" spans="1:6">
      <c r="A40" s="348" t="s">
        <v>30</v>
      </c>
      <c r="B40" s="348" t="s">
        <v>29</v>
      </c>
      <c r="C40" s="334">
        <v>0</v>
      </c>
      <c r="D40" s="334">
        <v>0</v>
      </c>
      <c r="E40" s="334">
        <v>0</v>
      </c>
      <c r="F40" s="334">
        <v>0</v>
      </c>
    </row>
    <row r="41" spans="1:6">
      <c r="A41" s="348" t="s">
        <v>32</v>
      </c>
      <c r="B41" s="348" t="s">
        <v>33</v>
      </c>
      <c r="C41" s="334">
        <v>53</v>
      </c>
      <c r="D41" s="334">
        <v>711854.599459355</v>
      </c>
      <c r="E41" s="334">
        <v>197</v>
      </c>
      <c r="F41" s="334">
        <v>6104896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15</v>
      </c>
      <c r="F44" s="334">
        <v>1507086</v>
      </c>
    </row>
    <row r="45" spans="1:6">
      <c r="A45" s="348" t="s">
        <v>32</v>
      </c>
      <c r="B45" s="348" t="s">
        <v>37</v>
      </c>
      <c r="C45" s="334">
        <v>3</v>
      </c>
      <c r="D45" s="334">
        <v>182987.72148338199</v>
      </c>
      <c r="E45" s="334">
        <v>15</v>
      </c>
      <c r="F45" s="334">
        <v>365890.3</v>
      </c>
    </row>
    <row r="46" spans="1:6">
      <c r="A46" s="348" t="s">
        <v>32</v>
      </c>
      <c r="B46" s="348" t="s">
        <v>38</v>
      </c>
      <c r="C46" s="334">
        <v>0</v>
      </c>
      <c r="D46" s="334">
        <v>0</v>
      </c>
      <c r="E46" s="334">
        <v>0</v>
      </c>
      <c r="F46" s="334">
        <v>0</v>
      </c>
    </row>
    <row r="47" spans="1:6">
      <c r="A47" s="348" t="s">
        <v>32</v>
      </c>
      <c r="B47" s="348" t="s">
        <v>39</v>
      </c>
      <c r="C47" s="334">
        <v>3</v>
      </c>
      <c r="D47" s="334">
        <v>36674.545522272303</v>
      </c>
      <c r="E47" s="334">
        <v>6</v>
      </c>
      <c r="F47" s="334">
        <v>52787.23</v>
      </c>
    </row>
    <row r="48" spans="1:6">
      <c r="A48" s="348" t="s">
        <v>32</v>
      </c>
      <c r="B48" s="348" t="s">
        <v>29</v>
      </c>
      <c r="C48" s="334">
        <v>26</v>
      </c>
      <c r="D48" s="334">
        <v>16872453.790764399</v>
      </c>
      <c r="E48" s="334">
        <v>34</v>
      </c>
      <c r="F48" s="334">
        <v>4318060</v>
      </c>
    </row>
    <row r="49" spans="1:6">
      <c r="A49" s="348" t="s">
        <v>32</v>
      </c>
      <c r="B49" s="348" t="s">
        <v>40</v>
      </c>
      <c r="C49" s="334">
        <v>0</v>
      </c>
      <c r="D49" s="334">
        <v>0</v>
      </c>
      <c r="E49" s="334">
        <v>14</v>
      </c>
      <c r="F49" s="334">
        <v>2722333</v>
      </c>
    </row>
    <row r="50" spans="1:6">
      <c r="A50" s="348" t="s">
        <v>32</v>
      </c>
      <c r="B50" s="348" t="s">
        <v>41</v>
      </c>
      <c r="C50" s="334">
        <v>3</v>
      </c>
      <c r="D50" s="334">
        <v>165685.73420630299</v>
      </c>
      <c r="E50" s="334">
        <v>14</v>
      </c>
      <c r="F50" s="334">
        <v>6980024</v>
      </c>
    </row>
    <row r="51" spans="1:6">
      <c r="A51" s="348" t="s">
        <v>42</v>
      </c>
      <c r="B51" s="348" t="s">
        <v>43</v>
      </c>
      <c r="C51" s="334">
        <v>3</v>
      </c>
      <c r="D51" s="334">
        <v>39473.085746090997</v>
      </c>
      <c r="E51" s="334">
        <v>77</v>
      </c>
      <c r="F51" s="334">
        <v>1055914</v>
      </c>
    </row>
    <row r="52" spans="1:6">
      <c r="A52" s="348" t="s">
        <v>42</v>
      </c>
      <c r="B52" s="348" t="s">
        <v>29</v>
      </c>
      <c r="C52" s="334">
        <v>3</v>
      </c>
      <c r="D52" s="334">
        <v>45283.719423455397</v>
      </c>
      <c r="E52" s="334">
        <v>8</v>
      </c>
      <c r="F52" s="334">
        <v>100634.7</v>
      </c>
    </row>
    <row r="53" spans="1:6">
      <c r="A53" s="348" t="s">
        <v>44</v>
      </c>
      <c r="B53" s="348" t="s">
        <v>45</v>
      </c>
      <c r="C53" s="334">
        <v>66</v>
      </c>
      <c r="D53" s="334">
        <v>964166.60998541606</v>
      </c>
      <c r="E53" s="334">
        <v>202</v>
      </c>
      <c r="F53" s="334">
        <v>1107355</v>
      </c>
    </row>
    <row r="54" spans="1:6">
      <c r="A54" s="348" t="s">
        <v>46</v>
      </c>
      <c r="B54" s="348" t="s">
        <v>47</v>
      </c>
      <c r="C54" s="334">
        <v>0</v>
      </c>
      <c r="D54" s="334">
        <v>0</v>
      </c>
      <c r="E54" s="334">
        <v>1</v>
      </c>
      <c r="F54" s="334">
        <v>1003094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553368.06070320494</v>
      </c>
      <c r="E57" s="334">
        <v>65</v>
      </c>
      <c r="F57" s="334">
        <v>1492062</v>
      </c>
    </row>
    <row r="58" spans="1:6">
      <c r="A58" s="348" t="s">
        <v>49</v>
      </c>
      <c r="B58" s="348" t="s">
        <v>51</v>
      </c>
      <c r="C58" s="334">
        <v>3</v>
      </c>
      <c r="D58" s="334">
        <v>48487.456461220099</v>
      </c>
      <c r="E58" s="334">
        <v>15</v>
      </c>
      <c r="F58" s="334">
        <v>146427.79999999999</v>
      </c>
    </row>
    <row r="59" spans="1:6">
      <c r="A59" s="348" t="s">
        <v>49</v>
      </c>
      <c r="B59" s="348" t="s">
        <v>52</v>
      </c>
      <c r="C59" s="334">
        <v>49</v>
      </c>
      <c r="D59" s="334">
        <v>1565272.90579123</v>
      </c>
      <c r="E59" s="334">
        <v>194</v>
      </c>
      <c r="F59" s="334">
        <v>6354217</v>
      </c>
    </row>
    <row r="60" spans="1:6">
      <c r="A60" s="348" t="s">
        <v>49</v>
      </c>
      <c r="B60" s="348" t="s">
        <v>53</v>
      </c>
      <c r="C60" s="334">
        <v>35</v>
      </c>
      <c r="D60" s="334">
        <v>1631867.1082783099</v>
      </c>
      <c r="E60" s="334">
        <v>99</v>
      </c>
      <c r="F60" s="334">
        <v>1596152</v>
      </c>
    </row>
    <row r="61" spans="1:6">
      <c r="A61" s="348" t="s">
        <v>49</v>
      </c>
      <c r="B61" s="348" t="s">
        <v>54</v>
      </c>
      <c r="C61" s="334">
        <v>66</v>
      </c>
      <c r="D61" s="334">
        <v>1391157.30510992</v>
      </c>
      <c r="E61" s="334">
        <v>239</v>
      </c>
      <c r="F61" s="334">
        <v>2477141</v>
      </c>
    </row>
    <row r="62" spans="1:6">
      <c r="A62" s="348" t="s">
        <v>49</v>
      </c>
      <c r="B62" s="348" t="s">
        <v>55</v>
      </c>
      <c r="C62" s="334">
        <v>4</v>
      </c>
      <c r="D62" s="334">
        <v>374083.92717904702</v>
      </c>
      <c r="E62" s="334">
        <v>7</v>
      </c>
      <c r="F62" s="334">
        <v>161392.70000000001</v>
      </c>
    </row>
    <row r="63" spans="1:6">
      <c r="A63" s="348" t="s">
        <v>49</v>
      </c>
      <c r="B63" s="348" t="s">
        <v>29</v>
      </c>
      <c r="C63" s="334">
        <v>79</v>
      </c>
      <c r="D63" s="334">
        <v>7079700.6303460998</v>
      </c>
      <c r="E63" s="334">
        <v>97</v>
      </c>
      <c r="F63" s="334">
        <v>4406355</v>
      </c>
    </row>
    <row r="64" spans="1:6">
      <c r="A64" s="348" t="s">
        <v>56</v>
      </c>
      <c r="B64" s="348" t="s">
        <v>57</v>
      </c>
      <c r="C64" s="334">
        <v>0</v>
      </c>
      <c r="D64" s="334">
        <v>0</v>
      </c>
      <c r="E64" s="334">
        <v>0</v>
      </c>
      <c r="F64" s="334">
        <v>0</v>
      </c>
    </row>
    <row r="65" spans="1:6">
      <c r="A65" s="348" t="s">
        <v>56</v>
      </c>
      <c r="B65" s="348" t="s">
        <v>29</v>
      </c>
      <c r="C65" s="334">
        <v>2</v>
      </c>
      <c r="D65" s="334">
        <v>25654.3824454758</v>
      </c>
      <c r="E65" s="334">
        <v>3</v>
      </c>
      <c r="F65" s="334">
        <v>80583.679999999993</v>
      </c>
    </row>
    <row r="66" spans="1:6">
      <c r="A66" s="348" t="s">
        <v>56</v>
      </c>
      <c r="B66" s="348" t="s">
        <v>58</v>
      </c>
      <c r="C66" s="334">
        <v>0</v>
      </c>
      <c r="D66" s="334">
        <v>0</v>
      </c>
      <c r="E66" s="334">
        <v>10</v>
      </c>
      <c r="F66" s="334">
        <v>205319.4</v>
      </c>
    </row>
    <row r="67" spans="1:6">
      <c r="A67" s="355" t="s">
        <v>56</v>
      </c>
      <c r="B67" s="355" t="s">
        <v>59</v>
      </c>
      <c r="C67" s="334">
        <v>0</v>
      </c>
      <c r="D67" s="334">
        <v>0</v>
      </c>
      <c r="E67" s="334">
        <v>0</v>
      </c>
      <c r="F67" s="334">
        <v>0</v>
      </c>
    </row>
    <row r="68" spans="1:6">
      <c r="A68" s="341" t="s">
        <v>56</v>
      </c>
      <c r="B68" s="341" t="s">
        <v>60</v>
      </c>
      <c r="C68" s="334">
        <v>0</v>
      </c>
      <c r="D68" s="334">
        <v>0</v>
      </c>
      <c r="E68" s="334">
        <v>27</v>
      </c>
      <c r="F68" s="334">
        <v>401803.5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44223014</v>
      </c>
      <c r="E73" s="477">
        <v>47932112.858759746</v>
      </c>
    </row>
    <row r="74" spans="1:6">
      <c r="A74" s="348" t="s">
        <v>64</v>
      </c>
      <c r="B74" s="348" t="s">
        <v>714</v>
      </c>
      <c r="C74" s="1229" t="s">
        <v>716</v>
      </c>
      <c r="D74" s="477">
        <v>5533203.6159375636</v>
      </c>
      <c r="E74" s="477">
        <v>6069385.998628011</v>
      </c>
    </row>
    <row r="75" spans="1:6">
      <c r="A75" s="348" t="s">
        <v>65</v>
      </c>
      <c r="B75" s="348" t="s">
        <v>713</v>
      </c>
      <c r="C75" s="1229" t="s">
        <v>717</v>
      </c>
      <c r="D75" s="477">
        <v>21186877</v>
      </c>
      <c r="E75" s="477">
        <v>23412896.871956382</v>
      </c>
    </row>
    <row r="76" spans="1:6">
      <c r="A76" s="348" t="s">
        <v>65</v>
      </c>
      <c r="B76" s="348" t="s">
        <v>714</v>
      </c>
      <c r="C76" s="1229" t="s">
        <v>718</v>
      </c>
      <c r="D76" s="477">
        <v>805522.61593756394</v>
      </c>
      <c r="E76" s="477">
        <v>926377.34112431563</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163082.76812487215</v>
      </c>
      <c r="C83" s="477">
        <v>165466.34807567831</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3079.7156389078723</v>
      </c>
    </row>
    <row r="92" spans="1:6">
      <c r="A92" s="341" t="s">
        <v>69</v>
      </c>
      <c r="B92" s="342">
        <v>1980.4146381184187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635</v>
      </c>
    </row>
    <row r="98" spans="1:6">
      <c r="A98" s="348" t="s">
        <v>72</v>
      </c>
      <c r="B98" s="334">
        <v>2</v>
      </c>
    </row>
    <row r="99" spans="1:6">
      <c r="A99" s="348" t="s">
        <v>73</v>
      </c>
      <c r="B99" s="334">
        <v>149</v>
      </c>
    </row>
    <row r="100" spans="1:6">
      <c r="A100" s="348" t="s">
        <v>74</v>
      </c>
      <c r="B100" s="334">
        <v>667</v>
      </c>
    </row>
    <row r="101" spans="1:6">
      <c r="A101" s="348" t="s">
        <v>75</v>
      </c>
      <c r="B101" s="334">
        <v>111</v>
      </c>
    </row>
    <row r="102" spans="1:6">
      <c r="A102" s="348" t="s">
        <v>76</v>
      </c>
      <c r="B102" s="334">
        <v>139</v>
      </c>
    </row>
    <row r="103" spans="1:6">
      <c r="A103" s="348" t="s">
        <v>77</v>
      </c>
      <c r="B103" s="334">
        <v>171</v>
      </c>
    </row>
    <row r="104" spans="1:6">
      <c r="A104" s="348" t="s">
        <v>78</v>
      </c>
      <c r="B104" s="334">
        <v>3582</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56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175</v>
      </c>
    </row>
    <row r="130" spans="1:6">
      <c r="A130" s="348" t="s">
        <v>295</v>
      </c>
      <c r="B130" s="334">
        <v>1</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72158.883024783892</v>
      </c>
      <c r="C3" s="43" t="s">
        <v>170</v>
      </c>
      <c r="D3" s="43"/>
      <c r="E3" s="154"/>
      <c r="F3" s="43"/>
      <c r="G3" s="43"/>
      <c r="H3" s="43"/>
      <c r="I3" s="43"/>
      <c r="J3" s="43"/>
      <c r="K3" s="96"/>
    </row>
    <row r="4" spans="1:11">
      <c r="A4" s="384" t="s">
        <v>171</v>
      </c>
      <c r="B4" s="49">
        <f>IF(ISERROR('SEAP template'!B69),0,'SEAP template'!B69)</f>
        <v>5060.130277026291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0.20550240989957233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1003.0940000000001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1003.0940000000001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0.20550240989957233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206.13823435580161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28225.736000000001</v>
      </c>
      <c r="C5" s="17">
        <f>IF(ISERROR('Eigen informatie GS &amp; warmtenet'!B57),0,'Eigen informatie GS &amp; warmtenet'!B57)</f>
        <v>0</v>
      </c>
      <c r="D5" s="30">
        <f>(SUM(HH_hh_gas_kWh,HH_rest_gas_kWh)/1000)*0.902</f>
        <v>32030.764651405381</v>
      </c>
      <c r="E5" s="17">
        <f>B46*B57</f>
        <v>4519.693306549445</v>
      </c>
      <c r="F5" s="17">
        <f>B51*B62</f>
        <v>43334.861866739077</v>
      </c>
      <c r="G5" s="18"/>
      <c r="H5" s="17"/>
      <c r="I5" s="17"/>
      <c r="J5" s="17">
        <f>B50*B61+C50*C61</f>
        <v>0</v>
      </c>
      <c r="K5" s="17"/>
      <c r="L5" s="17"/>
      <c r="M5" s="17"/>
      <c r="N5" s="17">
        <f>B48*B59+C48*C59</f>
        <v>12768.617072297133</v>
      </c>
      <c r="O5" s="17">
        <f>B69*B70*B71</f>
        <v>361.13000000000005</v>
      </c>
      <c r="P5" s="17">
        <f>B77*B78*B79/1000-B77*B78*B79/1000/B80</f>
        <v>610.13333333333333</v>
      </c>
    </row>
    <row r="6" spans="1:16">
      <c r="A6" s="16" t="s">
        <v>631</v>
      </c>
      <c r="B6" s="844">
        <f>kWh_PV_kleiner_dan_10kW</f>
        <v>3079.7156389078723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31305.451638907874</v>
      </c>
      <c r="C8" s="21">
        <f>C5</f>
        <v>0</v>
      </c>
      <c r="D8" s="21">
        <f>D5</f>
        <v>32030.764651405381</v>
      </c>
      <c r="E8" s="21">
        <f>E5</f>
        <v>4519.693306549445</v>
      </c>
      <c r="F8" s="21">
        <f>F5</f>
        <v>43334.861866739077</v>
      </c>
      <c r="G8" s="21"/>
      <c r="H8" s="21"/>
      <c r="I8" s="21"/>
      <c r="J8" s="21">
        <f>J5</f>
        <v>0</v>
      </c>
      <c r="K8" s="21"/>
      <c r="L8" s="21">
        <f>L5</f>
        <v>0</v>
      </c>
      <c r="M8" s="21">
        <f>M5</f>
        <v>0</v>
      </c>
      <c r="N8" s="21">
        <f>N5</f>
        <v>12768.617072297133</v>
      </c>
      <c r="O8" s="21">
        <f>O5</f>
        <v>361.13000000000005</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0.20550240989957233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6433.3457547900844</v>
      </c>
      <c r="C12" s="23">
        <f ca="1">C10*C8</f>
        <v>0</v>
      </c>
      <c r="D12" s="23">
        <f>D8*D10</f>
        <v>6470.2144595838872</v>
      </c>
      <c r="E12" s="23">
        <f>E10*E8</f>
        <v>1025.9703805867241</v>
      </c>
      <c r="F12" s="23">
        <f>F10*F8</f>
        <v>11570.408118419335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635</v>
      </c>
      <c r="C18" s="166" t="s">
        <v>111</v>
      </c>
      <c r="D18" s="228"/>
      <c r="E18" s="15"/>
    </row>
    <row r="19" spans="1:7">
      <c r="A19" s="171" t="s">
        <v>72</v>
      </c>
      <c r="B19" s="37">
        <f>aantalw2001_ander</f>
        <v>2</v>
      </c>
      <c r="C19" s="166" t="s">
        <v>111</v>
      </c>
      <c r="D19" s="229"/>
      <c r="E19" s="15"/>
    </row>
    <row r="20" spans="1:7">
      <c r="A20" s="171" t="s">
        <v>73</v>
      </c>
      <c r="B20" s="37">
        <f>aantalw2001_propaan</f>
        <v>149</v>
      </c>
      <c r="C20" s="167">
        <f>IF(ISERROR(B20/SUM($B$20,$B$21,$B$22)*100),0,B20/SUM($B$20,$B$21,$B$22)*100)</f>
        <v>16.073354908306364</v>
      </c>
      <c r="D20" s="229"/>
      <c r="E20" s="15"/>
    </row>
    <row r="21" spans="1:7">
      <c r="A21" s="171" t="s">
        <v>74</v>
      </c>
      <c r="B21" s="37">
        <f>aantalw2001_elektriciteit</f>
        <v>667</v>
      </c>
      <c r="C21" s="167">
        <f>IF(ISERROR(B21/SUM($B$20,$B$21,$B$22)*100),0,B21/SUM($B$20,$B$21,$B$22)*100)</f>
        <v>71.952535059331183</v>
      </c>
      <c r="D21" s="229"/>
      <c r="E21" s="15"/>
    </row>
    <row r="22" spans="1:7">
      <c r="A22" s="171" t="s">
        <v>75</v>
      </c>
      <c r="B22" s="37">
        <f>aantalw2001_hout</f>
        <v>111</v>
      </c>
      <c r="C22" s="167">
        <f>IF(ISERROR(B22/SUM($B$20,$B$21,$B$22)*100),0,B22/SUM($B$20,$B$21,$B$22)*100)</f>
        <v>11.974110032362459</v>
      </c>
      <c r="D22" s="229"/>
      <c r="E22" s="15"/>
    </row>
    <row r="23" spans="1:7">
      <c r="A23" s="171" t="s">
        <v>76</v>
      </c>
      <c r="B23" s="37">
        <f>aantalw2001_niet_gespec</f>
        <v>139</v>
      </c>
      <c r="C23" s="166" t="s">
        <v>111</v>
      </c>
      <c r="D23" s="228"/>
      <c r="E23" s="15"/>
    </row>
    <row r="24" spans="1:7">
      <c r="A24" s="171" t="s">
        <v>77</v>
      </c>
      <c r="B24" s="37">
        <f>aantalw2001_steenkool</f>
        <v>171</v>
      </c>
      <c r="C24" s="166" t="s">
        <v>111</v>
      </c>
      <c r="D24" s="229"/>
      <c r="E24" s="15"/>
    </row>
    <row r="25" spans="1:7">
      <c r="A25" s="171" t="s">
        <v>78</v>
      </c>
      <c r="B25" s="37">
        <f>aantalw2001_stookolie</f>
        <v>3582</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6336</v>
      </c>
      <c r="C28" s="36"/>
      <c r="D28" s="228"/>
    </row>
    <row r="29" spans="1:7" s="15" customFormat="1">
      <c r="A29" s="230" t="s">
        <v>741</v>
      </c>
      <c r="B29" s="37">
        <f>SUM(HH_hh_gas_aantal,HH_rest_gas_aantal)</f>
        <v>2659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2659</v>
      </c>
      <c r="C32" s="167">
        <f>IF(ISERROR(B32/SUM($B$32,$B$34,$B$35,$B$36,$B$38,$B$39)*100),0,B32/SUM($B$32,$B$34,$B$35,$B$36,$B$38,$B$39)*100)</f>
        <v>42.179568527918775</v>
      </c>
      <c r="D32" s="233"/>
      <c r="G32" s="15"/>
    </row>
    <row r="33" spans="1:7">
      <c r="A33" s="171" t="s">
        <v>72</v>
      </c>
      <c r="B33" s="34" t="s">
        <v>111</v>
      </c>
      <c r="C33" s="167"/>
      <c r="D33" s="233"/>
      <c r="G33" s="15"/>
    </row>
    <row r="34" spans="1:7">
      <c r="A34" s="171" t="s">
        <v>73</v>
      </c>
      <c r="B34" s="33">
        <f>IF((($B$28-$B$32-$B$39-$B$77-$B$38)*C20/100)&lt;0,0,($B$28-$B$32-$B$39-$B$77-$B$38)*C20/100)</f>
        <v>302.91844660194175</v>
      </c>
      <c r="C34" s="167">
        <f>IF(ISERROR(B34/SUM($B$32,$B$34,$B$35,$B$36,$B$38,$B$39)*100),0,B34/SUM($B$32,$B$34,$B$35,$B$36,$B$38,$B$39)*100)</f>
        <v>4.8051784042186183</v>
      </c>
      <c r="D34" s="233"/>
      <c r="G34" s="15"/>
    </row>
    <row r="35" spans="1:7">
      <c r="A35" s="171" t="s">
        <v>74</v>
      </c>
      <c r="B35" s="33">
        <f>IF((($B$28-$B$32-$B$39-$B$77-$B$38)*C21/100)&lt;0,0,($B$28-$B$32-$B$39-$B$77-$B$38)*C21/100)</f>
        <v>1356.0174757281557</v>
      </c>
      <c r="C35" s="167">
        <f>IF(ISERROR(B35/SUM($B$32,$B$34,$B$35,$B$36,$B$38,$B$39)*100),0,B35/SUM($B$32,$B$34,$B$35,$B$36,$B$38,$B$39)*100)</f>
        <v>21.510429500763887</v>
      </c>
      <c r="D35" s="233"/>
      <c r="G35" s="15"/>
    </row>
    <row r="36" spans="1:7">
      <c r="A36" s="171" t="s">
        <v>75</v>
      </c>
      <c r="B36" s="33">
        <f>IF((($B$28-$B$32-$B$39-$B$77-$B$38)*C22/100)&lt;0,0,($B$28-$B$32-$B$39-$B$77-$B$38)*C22/100)</f>
        <v>225.66407766990289</v>
      </c>
      <c r="C36" s="167">
        <f>IF(ISERROR(B36/SUM($B$32,$B$34,$B$35,$B$36,$B$38,$B$39)*100),0,B36/SUM($B$32,$B$34,$B$35,$B$36,$B$38,$B$39)*100)</f>
        <v>3.5796966635454135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1760.3999999999999</v>
      </c>
      <c r="C39" s="167">
        <f>IF(ISERROR(B39/SUM($B$32,$B$34,$B$35,$B$36,$B$38,$B$39)*100),0,B39/SUM($B$32,$B$34,$B$35,$B$36,$B$38,$B$39)*100)</f>
        <v>27.925126903553295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2659</v>
      </c>
      <c r="C44" s="34" t="s">
        <v>111</v>
      </c>
      <c r="D44" s="174"/>
    </row>
    <row r="45" spans="1:7">
      <c r="A45" s="171" t="s">
        <v>72</v>
      </c>
      <c r="B45" s="33" t="str">
        <f t="shared" si="0"/>
        <v>-</v>
      </c>
      <c r="C45" s="34" t="s">
        <v>111</v>
      </c>
      <c r="D45" s="174"/>
    </row>
    <row r="46" spans="1:7">
      <c r="A46" s="171" t="s">
        <v>73</v>
      </c>
      <c r="B46" s="33">
        <f t="shared" si="0"/>
        <v>302.91844660194175</v>
      </c>
      <c r="C46" s="34" t="s">
        <v>111</v>
      </c>
      <c r="D46" s="174"/>
    </row>
    <row r="47" spans="1:7">
      <c r="A47" s="171" t="s">
        <v>74</v>
      </c>
      <c r="B47" s="33">
        <f t="shared" si="0"/>
        <v>1356.0174757281557</v>
      </c>
      <c r="C47" s="34" t="s">
        <v>111</v>
      </c>
      <c r="D47" s="174"/>
    </row>
    <row r="48" spans="1:7">
      <c r="A48" s="171" t="s">
        <v>75</v>
      </c>
      <c r="B48" s="33">
        <f t="shared" si="0"/>
        <v>225.66407766990289</v>
      </c>
      <c r="C48" s="33">
        <f>B48*10</f>
        <v>2256.6407766990287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1760.3999999999999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16633.747499999998</v>
      </c>
      <c r="C5" s="17">
        <f>IF(ISERROR('Eigen informatie GS &amp; warmtenet'!B58),0,'Eigen informatie GS &amp; warmtenet'!B58)</f>
        <v>0</v>
      </c>
      <c r="D5" s="30">
        <f>SUM(D6:D12)</f>
        <v>11404.831529269866</v>
      </c>
      <c r="E5" s="17">
        <f>SUM(E6:E12)</f>
        <v>187.60824603220541</v>
      </c>
      <c r="F5" s="17">
        <f>SUM(F6:F12)</f>
        <v>2488.7761870255486</v>
      </c>
      <c r="G5" s="18"/>
      <c r="H5" s="17"/>
      <c r="I5" s="17"/>
      <c r="J5" s="17">
        <f>SUM(J6:J12)</f>
        <v>0</v>
      </c>
      <c r="K5" s="17"/>
      <c r="L5" s="17"/>
      <c r="M5" s="17"/>
      <c r="N5" s="17">
        <f>SUM(N6:N12)</f>
        <v>1504.9146466993702</v>
      </c>
      <c r="O5" s="17">
        <f>B38*B39*B40</f>
        <v>1.5633333333333335</v>
      </c>
      <c r="P5" s="17">
        <f>B46*B47*B48/1000-B46*B47*B48/1000/B49</f>
        <v>0</v>
      </c>
      <c r="R5" s="32"/>
    </row>
    <row r="6" spans="1:18">
      <c r="A6" s="32" t="s">
        <v>54</v>
      </c>
      <c r="B6" s="37">
        <f>B26</f>
        <v>2477.1410000000001</v>
      </c>
      <c r="C6" s="33"/>
      <c r="D6" s="37">
        <f>IF(ISERROR(TER_kantoor_gas_kWh/1000),0,TER_kantoor_gas_kWh/1000)*0.902</f>
        <v>1254.8238892091479</v>
      </c>
      <c r="E6" s="33">
        <f>$C$26*'E Balans VL '!I12/100/3.6*1000000</f>
        <v>7.1766409251189511</v>
      </c>
      <c r="F6" s="33">
        <f>$C$26*('E Balans VL '!L12+'E Balans VL '!N12)/100/3.6*1000000</f>
        <v>280.35778555239204</v>
      </c>
      <c r="G6" s="34"/>
      <c r="H6" s="33"/>
      <c r="I6" s="33"/>
      <c r="J6" s="33">
        <f>$C$26*('E Balans VL '!D12+'E Balans VL '!E12)/100/3.6*1000000</f>
        <v>0</v>
      </c>
      <c r="K6" s="33"/>
      <c r="L6" s="33"/>
      <c r="M6" s="33"/>
      <c r="N6" s="33">
        <f>$C$26*'E Balans VL '!Y12/100/3.6*1000000</f>
        <v>24.794356171016521</v>
      </c>
      <c r="O6" s="33"/>
      <c r="P6" s="33"/>
      <c r="R6" s="32"/>
    </row>
    <row r="7" spans="1:18">
      <c r="A7" s="32" t="s">
        <v>53</v>
      </c>
      <c r="B7" s="37">
        <f t="shared" ref="B7:B12" si="0">B27</f>
        <v>1596.152</v>
      </c>
      <c r="C7" s="33"/>
      <c r="D7" s="37">
        <f>IF(ISERROR(TER_horeca_gas_kWh/1000),0,TER_horeca_gas_kWh/1000)*0.902</f>
        <v>1471.9441316670354</v>
      </c>
      <c r="E7" s="33">
        <f>$C$27*'E Balans VL '!I9/100/3.6*1000000</f>
        <v>67.002001399450023</v>
      </c>
      <c r="F7" s="33">
        <f>$C$27*('E Balans VL '!L9+'E Balans VL '!N9)/100/3.6*1000000</f>
        <v>342.96598937957316</v>
      </c>
      <c r="G7" s="34"/>
      <c r="H7" s="33"/>
      <c r="I7" s="33"/>
      <c r="J7" s="33">
        <f>$C$27*('E Balans VL '!D9+'E Balans VL '!E9)/100/3.6*1000000</f>
        <v>0</v>
      </c>
      <c r="K7" s="33"/>
      <c r="L7" s="33"/>
      <c r="M7" s="33"/>
      <c r="N7" s="33">
        <f>$C$27*'E Balans VL '!Y9/100/3.6*1000000</f>
        <v>0.41131441154437032</v>
      </c>
      <c r="O7" s="33"/>
      <c r="P7" s="33"/>
      <c r="R7" s="32"/>
    </row>
    <row r="8" spans="1:18">
      <c r="A8" s="6" t="s">
        <v>52</v>
      </c>
      <c r="B8" s="37">
        <f t="shared" si="0"/>
        <v>6354.2169999999996</v>
      </c>
      <c r="C8" s="33"/>
      <c r="D8" s="37">
        <f>IF(ISERROR(TER_handel_gas_kWh/1000),0,TER_handel_gas_kWh/1000)*0.902</f>
        <v>1411.8761610236895</v>
      </c>
      <c r="E8" s="33">
        <f>$C$28*'E Balans VL '!I13/100/3.6*1000000</f>
        <v>68.249579044476093</v>
      </c>
      <c r="F8" s="33">
        <f>$C$28*('E Balans VL '!L13+'E Balans VL '!N13)/100/3.6*1000000</f>
        <v>822.60586269228588</v>
      </c>
      <c r="G8" s="34"/>
      <c r="H8" s="33"/>
      <c r="I8" s="33"/>
      <c r="J8" s="33">
        <f>$C$28*('E Balans VL '!D13+'E Balans VL '!E13)/100/3.6*1000000</f>
        <v>0</v>
      </c>
      <c r="K8" s="33"/>
      <c r="L8" s="33"/>
      <c r="M8" s="33"/>
      <c r="N8" s="33">
        <f>$C$28*'E Balans VL '!Y13/100/3.6*1000000</f>
        <v>51.54575525933366</v>
      </c>
      <c r="O8" s="33"/>
      <c r="P8" s="33"/>
      <c r="R8" s="32"/>
    </row>
    <row r="9" spans="1:18">
      <c r="A9" s="32" t="s">
        <v>51</v>
      </c>
      <c r="B9" s="37">
        <f t="shared" si="0"/>
        <v>146.42779999999999</v>
      </c>
      <c r="C9" s="33"/>
      <c r="D9" s="37">
        <f>IF(ISERROR(TER_gezond_gas_kWh/1000),0,TER_gezond_gas_kWh/1000)*0.902</f>
        <v>43.735685728020528</v>
      </c>
      <c r="E9" s="33">
        <f>$C$29*'E Balans VL '!I10/100/3.6*1000000</f>
        <v>0.11656599949637657</v>
      </c>
      <c r="F9" s="33">
        <f>$C$29*('E Balans VL '!L10+'E Balans VL '!N10)/100/3.6*1000000</f>
        <v>17.800415162305491</v>
      </c>
      <c r="G9" s="34"/>
      <c r="H9" s="33"/>
      <c r="I9" s="33"/>
      <c r="J9" s="33">
        <f>$C$29*('E Balans VL '!D10+'E Balans VL '!E10)/100/3.6*1000000</f>
        <v>0</v>
      </c>
      <c r="K9" s="33"/>
      <c r="L9" s="33"/>
      <c r="M9" s="33"/>
      <c r="N9" s="33">
        <f>$C$29*'E Balans VL '!Y10/100/3.6*1000000</f>
        <v>1.1828049749032665</v>
      </c>
      <c r="O9" s="33"/>
      <c r="P9" s="33"/>
      <c r="R9" s="32"/>
    </row>
    <row r="10" spans="1:18">
      <c r="A10" s="32" t="s">
        <v>50</v>
      </c>
      <c r="B10" s="37">
        <f t="shared" si="0"/>
        <v>1492.0619999999999</v>
      </c>
      <c r="C10" s="33"/>
      <c r="D10" s="37">
        <f>IF(ISERROR(TER_ander_gas_kWh/1000),0,TER_ander_gas_kWh/1000)*0.902</f>
        <v>499.13799075429085</v>
      </c>
      <c r="E10" s="33">
        <f>$C$30*'E Balans VL '!I14/100/3.6*1000000</f>
        <v>5.1133748568898945</v>
      </c>
      <c r="F10" s="33">
        <f>$C$30*('E Balans VL '!L14+'E Balans VL '!N14)/100/3.6*1000000</f>
        <v>333.26602054235229</v>
      </c>
      <c r="G10" s="34"/>
      <c r="H10" s="33"/>
      <c r="I10" s="33"/>
      <c r="J10" s="33">
        <f>$C$30*('E Balans VL '!D14+'E Balans VL '!E14)/100/3.6*1000000</f>
        <v>0</v>
      </c>
      <c r="K10" s="33"/>
      <c r="L10" s="33"/>
      <c r="M10" s="33"/>
      <c r="N10" s="33">
        <f>$C$30*'E Balans VL '!Y14/100/3.6*1000000</f>
        <v>1051.0166237753767</v>
      </c>
      <c r="O10" s="33"/>
      <c r="P10" s="33"/>
      <c r="R10" s="32"/>
    </row>
    <row r="11" spans="1:18">
      <c r="A11" s="32" t="s">
        <v>55</v>
      </c>
      <c r="B11" s="37">
        <f t="shared" si="0"/>
        <v>161.39270000000002</v>
      </c>
      <c r="C11" s="33"/>
      <c r="D11" s="37">
        <f>IF(ISERROR(TER_onderwijs_gas_kWh/1000),0,TER_onderwijs_gas_kWh/1000)*0.902</f>
        <v>337.42370231550041</v>
      </c>
      <c r="E11" s="33">
        <f>$C$31*'E Balans VL '!I11/100/3.6*1000000</f>
        <v>0.11156580300602485</v>
      </c>
      <c r="F11" s="33">
        <f>$C$31*('E Balans VL '!L11+'E Balans VL '!N11)/100/3.6*1000000</f>
        <v>42.247920720162931</v>
      </c>
      <c r="G11" s="34"/>
      <c r="H11" s="33"/>
      <c r="I11" s="33"/>
      <c r="J11" s="33">
        <f>$C$31*('E Balans VL '!D11+'E Balans VL '!E11)/100/3.6*1000000</f>
        <v>0</v>
      </c>
      <c r="K11" s="33"/>
      <c r="L11" s="33"/>
      <c r="M11" s="33"/>
      <c r="N11" s="33">
        <f>$C$31*'E Balans VL '!Y11/100/3.6*1000000</f>
        <v>0.16065268649214348</v>
      </c>
      <c r="O11" s="33"/>
      <c r="P11" s="33"/>
      <c r="R11" s="32"/>
    </row>
    <row r="12" spans="1:18">
      <c r="A12" s="32" t="s">
        <v>260</v>
      </c>
      <c r="B12" s="37">
        <f t="shared" si="0"/>
        <v>4406.3549999999996</v>
      </c>
      <c r="C12" s="33"/>
      <c r="D12" s="37">
        <f>IF(ISERROR(TER_rest_gas_kWh/1000),0,TER_rest_gas_kWh/1000)*0.902</f>
        <v>6385.8899685721826</v>
      </c>
      <c r="E12" s="33">
        <f>$C$32*'E Balans VL '!I8/100/3.6*1000000</f>
        <v>39.83851800376808</v>
      </c>
      <c r="F12" s="33">
        <f>$C$32*('E Balans VL '!L8+'E Balans VL '!N8)/100/3.6*1000000</f>
        <v>649.53219297647706</v>
      </c>
      <c r="G12" s="34"/>
      <c r="H12" s="33"/>
      <c r="I12" s="33"/>
      <c r="J12" s="33">
        <f>$C$32*('E Balans VL '!D8+'E Balans VL '!E8)/100/3.6*1000000</f>
        <v>0</v>
      </c>
      <c r="K12" s="33"/>
      <c r="L12" s="33"/>
      <c r="M12" s="33"/>
      <c r="N12" s="33">
        <f>$C$32*'E Balans VL '!Y8/100/3.6*1000000</f>
        <v>375.80313942070364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16633.747499999998</v>
      </c>
      <c r="C16" s="21">
        <f t="shared" ca="1" si="1"/>
        <v>0</v>
      </c>
      <c r="D16" s="21">
        <f t="shared" ca="1" si="1"/>
        <v>11404.831529269866</v>
      </c>
      <c r="E16" s="21">
        <f t="shared" si="1"/>
        <v>187.60824603220541</v>
      </c>
      <c r="F16" s="21">
        <f t="shared" ca="1" si="1"/>
        <v>2488.7761870255486</v>
      </c>
      <c r="G16" s="21">
        <f t="shared" si="1"/>
        <v>0</v>
      </c>
      <c r="H16" s="21">
        <f t="shared" si="1"/>
        <v>0</v>
      </c>
      <c r="I16" s="21">
        <f t="shared" si="1"/>
        <v>0</v>
      </c>
      <c r="J16" s="21">
        <f t="shared" si="1"/>
        <v>0</v>
      </c>
      <c r="K16" s="21">
        <f t="shared" si="1"/>
        <v>0</v>
      </c>
      <c r="L16" s="21">
        <f t="shared" ca="1" si="1"/>
        <v>0</v>
      </c>
      <c r="M16" s="21">
        <f t="shared" si="1"/>
        <v>0</v>
      </c>
      <c r="N16" s="21">
        <f t="shared" ca="1" si="1"/>
        <v>1504.9146466993702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0.20550240989957233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3418.2751969109859</v>
      </c>
      <c r="C20" s="23">
        <f t="shared" ref="C20:P20" ca="1" si="2">C16*C18</f>
        <v>0</v>
      </c>
      <c r="D20" s="23">
        <f t="shared" ca="1" si="2"/>
        <v>2303.7759689125132</v>
      </c>
      <c r="E20" s="23">
        <f t="shared" si="2"/>
        <v>42.587071849310632</v>
      </c>
      <c r="F20" s="23">
        <f t="shared" ca="1" si="2"/>
        <v>664.50324193582151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2477.1410000000001</v>
      </c>
      <c r="C26" s="39">
        <f>IF(ISERROR(B26*3.6/1000000/'E Balans VL '!Z12*100),0,B26*3.6/1000000/'E Balans VL '!Z12*100)</f>
        <v>5.4413265926775214E-2</v>
      </c>
      <c r="D26" s="237" t="s">
        <v>692</v>
      </c>
      <c r="F26" s="6"/>
    </row>
    <row r="27" spans="1:18">
      <c r="A27" s="231" t="s">
        <v>53</v>
      </c>
      <c r="B27" s="33">
        <f>IF(ISERROR(TER_horeca_ele_kWh/1000),0,TER_horeca_ele_kWh/1000)</f>
        <v>1596.152</v>
      </c>
      <c r="C27" s="39">
        <f>IF(ISERROR(B27*3.6/1000000/'E Balans VL '!Z9*100),0,B27*3.6/1000000/'E Balans VL '!Z9*100)</f>
        <v>0.12826672383105775</v>
      </c>
      <c r="D27" s="237" t="s">
        <v>692</v>
      </c>
      <c r="F27" s="6"/>
    </row>
    <row r="28" spans="1:18">
      <c r="A28" s="171" t="s">
        <v>52</v>
      </c>
      <c r="B28" s="33">
        <f>IF(ISERROR(TER_handel_ele_kWh/1000),0,TER_handel_ele_kWh/1000)</f>
        <v>6354.2169999999996</v>
      </c>
      <c r="C28" s="39">
        <f>IF(ISERROR(B28*3.6/1000000/'E Balans VL '!Z13*100),0,B28*3.6/1000000/'E Balans VL '!Z13*100)</f>
        <v>0.1878897575407969</v>
      </c>
      <c r="D28" s="237" t="s">
        <v>692</v>
      </c>
      <c r="F28" s="6"/>
    </row>
    <row r="29" spans="1:18">
      <c r="A29" s="231" t="s">
        <v>51</v>
      </c>
      <c r="B29" s="33">
        <f>IF(ISERROR(TER_gezond_ele_kWh/1000),0,TER_gezond_ele_kWh/1000)</f>
        <v>146.42779999999999</v>
      </c>
      <c r="C29" s="39">
        <f>IF(ISERROR(B29*3.6/1000000/'E Balans VL '!Z10*100),0,B29*3.6/1000000/'E Balans VL '!Z10*100)</f>
        <v>1.6498632627449973E-2</v>
      </c>
      <c r="D29" s="237" t="s">
        <v>692</v>
      </c>
      <c r="F29" s="6"/>
    </row>
    <row r="30" spans="1:18">
      <c r="A30" s="231" t="s">
        <v>50</v>
      </c>
      <c r="B30" s="33">
        <f>IF(ISERROR(TER_ander_ele_kWh/1000),0,TER_ander_ele_kWh/1000)</f>
        <v>1492.0619999999999</v>
      </c>
      <c r="C30" s="39">
        <f>IF(ISERROR(B30*3.6/1000000/'E Balans VL '!Z14*100),0,B30*3.6/1000000/'E Balans VL '!Z14*100)</f>
        <v>0.11284209849522019</v>
      </c>
      <c r="D30" s="237" t="s">
        <v>692</v>
      </c>
      <c r="F30" s="6"/>
    </row>
    <row r="31" spans="1:18">
      <c r="A31" s="231" t="s">
        <v>55</v>
      </c>
      <c r="B31" s="33">
        <f>IF(ISERROR(TER_onderwijs_ele_kWh/1000),0,TER_onderwijs_ele_kWh/1000)</f>
        <v>161.39270000000002</v>
      </c>
      <c r="C31" s="39">
        <f>IF(ISERROR(B31*3.6/1000000/'E Balans VL '!Z11*100),0,B31*3.6/1000000/'E Balans VL '!Z11*100)</f>
        <v>3.3501377949311371E-2</v>
      </c>
      <c r="D31" s="237" t="s">
        <v>692</v>
      </c>
    </row>
    <row r="32" spans="1:18">
      <c r="A32" s="231" t="s">
        <v>260</v>
      </c>
      <c r="B32" s="33">
        <f>IF(ISERROR(TER_rest_ele_kWh/1000),0,TER_rest_ele_kWh/1000)</f>
        <v>4406.3549999999996</v>
      </c>
      <c r="C32" s="39">
        <f>IF(ISERROR(B32*3.6/1000000/'E Balans VL '!Z8*100),0,B32*3.6/1000000/'E Balans VL '!Z8*100)</f>
        <v>3.7120948704136444E-2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22051.076530000002</v>
      </c>
      <c r="C5" s="17">
        <f>IF(ISERROR('Eigen informatie GS &amp; warmtenet'!B59),0,'Eigen informatie GS &amp; warmtenet'!B59)</f>
        <v>0</v>
      </c>
      <c r="D5" s="30">
        <f>SUM(D6:D15)</f>
        <v>16208.630065075011</v>
      </c>
      <c r="E5" s="17">
        <f>SUM(E6:E15)</f>
        <v>2015.5766938642512</v>
      </c>
      <c r="F5" s="17">
        <f>SUM(F6:F15)</f>
        <v>19587.58211344793</v>
      </c>
      <c r="G5" s="18"/>
      <c r="H5" s="17"/>
      <c r="I5" s="17"/>
      <c r="J5" s="17">
        <f>SUM(J6:J15)</f>
        <v>185.7130353713795</v>
      </c>
      <c r="K5" s="17"/>
      <c r="L5" s="17"/>
      <c r="M5" s="17"/>
      <c r="N5" s="17">
        <f>SUM(N6:N15)</f>
        <v>6552.69374295328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1507.086</v>
      </c>
      <c r="C8" s="33"/>
      <c r="D8" s="37">
        <f>IF( ISERROR(IND_metaal_Gas_kWH/1000),0,IND_metaal_Gas_kWH/1000)*0.902</f>
        <v>0</v>
      </c>
      <c r="E8" s="33">
        <f>C30*'E Balans VL '!I18/100/3.6*1000000</f>
        <v>37.717087892002816</v>
      </c>
      <c r="F8" s="33">
        <f>C30*'E Balans VL '!L18/100/3.6*1000000+C30*'E Balans VL '!N18/100/3.6*1000000</f>
        <v>472.32824903130052</v>
      </c>
      <c r="G8" s="34"/>
      <c r="H8" s="33"/>
      <c r="I8" s="33"/>
      <c r="J8" s="40">
        <f>C30*'E Balans VL '!D18/100/3.6*1000000+C30*'E Balans VL '!E18/100/3.6*1000000</f>
        <v>0</v>
      </c>
      <c r="K8" s="33"/>
      <c r="L8" s="33"/>
      <c r="M8" s="33"/>
      <c r="N8" s="33">
        <f>C30*'E Balans VL '!Y18/100/3.6*1000000</f>
        <v>37.861911549231827</v>
      </c>
      <c r="O8" s="33"/>
      <c r="P8" s="33"/>
      <c r="R8" s="32"/>
    </row>
    <row r="9" spans="1:18">
      <c r="A9" s="6" t="s">
        <v>33</v>
      </c>
      <c r="B9" s="37">
        <f t="shared" si="0"/>
        <v>6104.8959999999997</v>
      </c>
      <c r="C9" s="33"/>
      <c r="D9" s="37">
        <f>IF( ISERROR(IND_andere_gas_kWh/1000),0,IND_andere_gas_kWh/1000)*0.902</f>
        <v>642.0928487123382</v>
      </c>
      <c r="E9" s="33">
        <f>C31*'E Balans VL '!I19/100/3.6*1000000</f>
        <v>1678.5960073511631</v>
      </c>
      <c r="F9" s="33">
        <f>C31*'E Balans VL '!L19/100/3.6*1000000+C31*'E Balans VL '!N19/100/3.6*1000000</f>
        <v>4811.7203761769952</v>
      </c>
      <c r="G9" s="34"/>
      <c r="H9" s="33"/>
      <c r="I9" s="33"/>
      <c r="J9" s="40">
        <f>C31*'E Balans VL '!D19/100/3.6*1000000+C31*'E Balans VL '!E19/100/3.6*1000000</f>
        <v>0</v>
      </c>
      <c r="K9" s="33"/>
      <c r="L9" s="33"/>
      <c r="M9" s="33"/>
      <c r="N9" s="33">
        <f>C31*'E Balans VL '!Y19/100/3.6*1000000</f>
        <v>1976.3159774889871</v>
      </c>
      <c r="O9" s="33"/>
      <c r="P9" s="33"/>
      <c r="R9" s="32"/>
    </row>
    <row r="10" spans="1:18">
      <c r="A10" s="6" t="s">
        <v>41</v>
      </c>
      <c r="B10" s="37">
        <f t="shared" si="0"/>
        <v>6980.0240000000003</v>
      </c>
      <c r="C10" s="33"/>
      <c r="D10" s="37">
        <f>IF( ISERROR(IND_voed_gas_kWh/1000),0,IND_voed_gas_kWh/1000)*0.902</f>
        <v>149.44853225408531</v>
      </c>
      <c r="E10" s="33">
        <f>C32*'E Balans VL '!I20/100/3.6*1000000</f>
        <v>71.15749936283693</v>
      </c>
      <c r="F10" s="33">
        <f>C32*'E Balans VL '!L20/100/3.6*1000000+C32*'E Balans VL '!N20/100/3.6*1000000</f>
        <v>13185.221680164021</v>
      </c>
      <c r="G10" s="34"/>
      <c r="H10" s="33"/>
      <c r="I10" s="33"/>
      <c r="J10" s="40">
        <f>C32*'E Balans VL '!D20/100/3.6*1000000+C32*'E Balans VL '!E20/100/3.6*1000000</f>
        <v>167.05481306192806</v>
      </c>
      <c r="K10" s="33"/>
      <c r="L10" s="33"/>
      <c r="M10" s="33"/>
      <c r="N10" s="33">
        <f>C32*'E Balans VL '!Y20/100/3.6*1000000</f>
        <v>3679.2766481754311</v>
      </c>
      <c r="O10" s="33"/>
      <c r="P10" s="33"/>
      <c r="R10" s="32"/>
    </row>
    <row r="11" spans="1:18">
      <c r="A11" s="6" t="s">
        <v>40</v>
      </c>
      <c r="B11" s="37">
        <f t="shared" si="0"/>
        <v>2722.3330000000001</v>
      </c>
      <c r="C11" s="33"/>
      <c r="D11" s="37">
        <f>IF( ISERROR(IND_textiel_gas_kWh/1000),0,IND_textiel_gas_kWh/1000)*0.902</f>
        <v>0</v>
      </c>
      <c r="E11" s="33">
        <f>C33*'E Balans VL '!I21/100/3.6*1000000</f>
        <v>7.2155142629510678</v>
      </c>
      <c r="F11" s="33">
        <f>C33*'E Balans VL '!L21/100/3.6*1000000+C33*'E Balans VL '!N21/100/3.6*1000000</f>
        <v>121.58220007560075</v>
      </c>
      <c r="G11" s="34"/>
      <c r="H11" s="33"/>
      <c r="I11" s="33"/>
      <c r="J11" s="40">
        <f>C33*'E Balans VL '!D21/100/3.6*1000000+C33*'E Balans VL '!E21/100/3.6*1000000</f>
        <v>0</v>
      </c>
      <c r="K11" s="33"/>
      <c r="L11" s="33"/>
      <c r="M11" s="33"/>
      <c r="N11" s="33">
        <f>C33*'E Balans VL '!Y21/100/3.6*1000000</f>
        <v>25.656042486732346</v>
      </c>
      <c r="O11" s="33"/>
      <c r="P11" s="33"/>
      <c r="R11" s="32"/>
    </row>
    <row r="12" spans="1:18">
      <c r="A12" s="6" t="s">
        <v>37</v>
      </c>
      <c r="B12" s="37">
        <f t="shared" si="0"/>
        <v>365.89029999999997</v>
      </c>
      <c r="C12" s="33"/>
      <c r="D12" s="37">
        <f>IF( ISERROR(IND_min_gas_kWh/1000),0,IND_min_gas_kWh/1000)*0.902</f>
        <v>165.05492477801056</v>
      </c>
      <c r="E12" s="33">
        <f>C34*'E Balans VL '!I22/100/3.6*1000000</f>
        <v>1.1081162071496862</v>
      </c>
      <c r="F12" s="33">
        <f>C34*'E Balans VL '!L22/100/3.6*1000000+C34*'E Balans VL '!N22/100/3.6*1000000</f>
        <v>11.43438644410138</v>
      </c>
      <c r="G12" s="34"/>
      <c r="H12" s="33"/>
      <c r="I12" s="33"/>
      <c r="J12" s="40">
        <f>C34*'E Balans VL '!D22/100/3.6*1000000+C34*'E Balans VL '!E22/100/3.6*1000000</f>
        <v>0.54253409143876652</v>
      </c>
      <c r="K12" s="33"/>
      <c r="L12" s="33"/>
      <c r="M12" s="33"/>
      <c r="N12" s="33">
        <f>C34*'E Balans VL '!Y22/100/3.6*1000000</f>
        <v>0</v>
      </c>
      <c r="O12" s="33"/>
      <c r="P12" s="33"/>
      <c r="R12" s="32"/>
    </row>
    <row r="13" spans="1:18">
      <c r="A13" s="6" t="s">
        <v>39</v>
      </c>
      <c r="B13" s="37">
        <f t="shared" si="0"/>
        <v>52.787230000000001</v>
      </c>
      <c r="C13" s="33"/>
      <c r="D13" s="37">
        <f>IF( ISERROR(IND_papier_gas_kWh/1000),0,IND_papier_gas_kWh/1000)*0.902</f>
        <v>33.080440061089618</v>
      </c>
      <c r="E13" s="33">
        <f>C35*'E Balans VL '!I23/100/3.6*1000000</f>
        <v>0.10932591638222819</v>
      </c>
      <c r="F13" s="33">
        <f>C35*'E Balans VL '!L23/100/3.6*1000000+C35*'E Balans VL '!N23/100/3.6*1000000</f>
        <v>1.0468839377265322</v>
      </c>
      <c r="G13" s="34"/>
      <c r="H13" s="33"/>
      <c r="I13" s="33"/>
      <c r="J13" s="40">
        <f>C35*'E Balans VL '!D23/100/3.6*1000000+C35*'E Balans VL '!E23/100/3.6*1000000</f>
        <v>0</v>
      </c>
      <c r="K13" s="33"/>
      <c r="L13" s="33"/>
      <c r="M13" s="33"/>
      <c r="N13" s="33">
        <f>C35*'E Balans VL '!Y23/100/3.6*1000000</f>
        <v>22.289295366313109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4318.0600000000004</v>
      </c>
      <c r="C15" s="33"/>
      <c r="D15" s="37">
        <f>IF( ISERROR(IND_rest_gas_kWh/1000),0,IND_rest_gas_kWh/1000)*0.902</f>
        <v>15218.953319269487</v>
      </c>
      <c r="E15" s="33">
        <f>C37*'E Balans VL '!I15/100/3.6*1000000</f>
        <v>219.67314287176563</v>
      </c>
      <c r="F15" s="33">
        <f>C37*'E Balans VL '!L15/100/3.6*1000000+C37*'E Balans VL '!N15/100/3.6*1000000</f>
        <v>984.24833761818343</v>
      </c>
      <c r="G15" s="34"/>
      <c r="H15" s="33"/>
      <c r="I15" s="33"/>
      <c r="J15" s="40">
        <f>C37*'E Balans VL '!D15/100/3.6*1000000+C37*'E Balans VL '!E15/100/3.6*1000000</f>
        <v>18.115688218012679</v>
      </c>
      <c r="K15" s="33"/>
      <c r="L15" s="33"/>
      <c r="M15" s="33"/>
      <c r="N15" s="33">
        <f>C37*'E Balans VL '!Y15/100/3.6*1000000</f>
        <v>811.29386788658485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22051.076530000002</v>
      </c>
      <c r="C18" s="21">
        <f>C5+C16</f>
        <v>0</v>
      </c>
      <c r="D18" s="21">
        <f>MAX((D5+D16),0)</f>
        <v>16208.630065075011</v>
      </c>
      <c r="E18" s="21">
        <f>MAX((E5+E16),0)</f>
        <v>2015.5766938642512</v>
      </c>
      <c r="F18" s="21">
        <f>MAX((F5+F16),0)</f>
        <v>19587.58211344793</v>
      </c>
      <c r="G18" s="21"/>
      <c r="H18" s="21"/>
      <c r="I18" s="21"/>
      <c r="J18" s="21">
        <f>MAX((J5+J16),0)</f>
        <v>185.7130353713795</v>
      </c>
      <c r="K18" s="21"/>
      <c r="L18" s="21">
        <f>MAX((L5+L16),0)</f>
        <v>0</v>
      </c>
      <c r="M18" s="21"/>
      <c r="N18" s="21">
        <f>MAX((N5+N16),0)</f>
        <v>6552.69374295328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0.20550240989957233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4531.5493677948998</v>
      </c>
      <c r="C22" s="23">
        <f ca="1">C18*C20</f>
        <v>0</v>
      </c>
      <c r="D22" s="23">
        <f>D18*D20</f>
        <v>3274.1432731451523</v>
      </c>
      <c r="E22" s="23">
        <f>E18*E20</f>
        <v>457.53590950718501</v>
      </c>
      <c r="F22" s="23">
        <f>F18*F20</f>
        <v>5229.884424290598</v>
      </c>
      <c r="G22" s="23"/>
      <c r="H22" s="23"/>
      <c r="I22" s="23"/>
      <c r="J22" s="23">
        <f>J18*J20</f>
        <v>65.742414521468348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1507.086</v>
      </c>
      <c r="C30" s="39">
        <f>IF(ISERROR(B30*3.6/1000000/'E Balans VL '!Z18*100),0,B30*3.6/1000000/'E Balans VL '!Z18*100)</f>
        <v>0.21094181580420798</v>
      </c>
      <c r="D30" s="237" t="s">
        <v>692</v>
      </c>
    </row>
    <row r="31" spans="1:18">
      <c r="A31" s="6" t="s">
        <v>33</v>
      </c>
      <c r="B31" s="37">
        <f>IF( ISERROR(IND_ander_ele_kWh/1000),0,IND_ander_ele_kWh/1000)</f>
        <v>6104.8959999999997</v>
      </c>
      <c r="C31" s="39">
        <f>IF(ISERROR(B31*3.6/1000000/'E Balans VL '!Z19*100),0,B31*3.6/1000000/'E Balans VL '!Z19*100)</f>
        <v>0.26721030756516478</v>
      </c>
      <c r="D31" s="237" t="s">
        <v>692</v>
      </c>
    </row>
    <row r="32" spans="1:18">
      <c r="A32" s="171" t="s">
        <v>41</v>
      </c>
      <c r="B32" s="37">
        <f>IF( ISERROR(IND_voed_ele_kWh/1000),0,IND_voed_ele_kWh/1000)</f>
        <v>6980.0240000000003</v>
      </c>
      <c r="C32" s="39">
        <f>IF(ISERROR(B32*3.6/1000000/'E Balans VL '!Z20*100),0,B32*3.6/1000000/'E Balans VL '!Z20*100)</f>
        <v>1.7280221472363677</v>
      </c>
      <c r="D32" s="237" t="s">
        <v>692</v>
      </c>
    </row>
    <row r="33" spans="1:5">
      <c r="A33" s="171" t="s">
        <v>40</v>
      </c>
      <c r="B33" s="37">
        <f>IF( ISERROR(IND_textiel_ele_kWh/1000),0,IND_textiel_ele_kWh/1000)</f>
        <v>2722.3330000000001</v>
      </c>
      <c r="C33" s="39">
        <f>IF(ISERROR(B33*3.6/1000000/'E Balans VL '!Z21*100),0,B33*3.6/1000000/'E Balans VL '!Z21*100)</f>
        <v>0.30675897476240066</v>
      </c>
      <c r="D33" s="237" t="s">
        <v>692</v>
      </c>
    </row>
    <row r="34" spans="1:5">
      <c r="A34" s="171" t="s">
        <v>37</v>
      </c>
      <c r="B34" s="37">
        <f>IF( ISERROR(IND_min_ele_kWh/1000),0,IND_min_ele_kWh/1000)</f>
        <v>365.89029999999997</v>
      </c>
      <c r="C34" s="39">
        <f>IF(ISERROR(B34*3.6/1000000/'E Balans VL '!Z22*100),0,B34*3.6/1000000/'E Balans VL '!Z22*100)</f>
        <v>1.0382473961803154E-2</v>
      </c>
      <c r="D34" s="237" t="s">
        <v>692</v>
      </c>
    </row>
    <row r="35" spans="1:5">
      <c r="A35" s="171" t="s">
        <v>39</v>
      </c>
      <c r="B35" s="37">
        <f>IF( ISERROR(IND_papier_ele_kWh/1000),0,IND_papier_ele_kWh/1000)</f>
        <v>52.787230000000001</v>
      </c>
      <c r="C35" s="39">
        <f>IF(ISERROR(B35*3.6/1000000/'E Balans VL '!Z22*100),0,B35*3.6/1000000/'E Balans VL '!Z22*100)</f>
        <v>1.4978862270760233E-3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4318.0600000000004</v>
      </c>
      <c r="C37" s="39">
        <f>IF(ISERROR(B37*3.6/1000000/'E Balans VL '!Z15*100),0,B37*3.6/1000000/'E Balans VL '!Z15*100)</f>
        <v>3.2017675616844168E-2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1156.5487000000001</v>
      </c>
      <c r="C5" s="17">
        <f>'Eigen informatie GS &amp; warmtenet'!B60</f>
        <v>0</v>
      </c>
      <c r="D5" s="30">
        <f>IF(ISERROR(SUM(LB_lb_gas_kWh,LB_rest_gas_kWh,onbekend_gas_kWh)/1000),0,SUM(LB_lb_gas_kWh,LB_rest_gas_kWh,onbekend_gas_kWh)/1000)*0.902</f>
        <v>946.12892046977618</v>
      </c>
      <c r="E5" s="17">
        <f>B17*'E Balans VL '!I25/3.6*1000000/100</f>
        <v>10.712438466523192</v>
      </c>
      <c r="F5" s="17">
        <f>B17*('E Balans VL '!L25/3.6*1000000+'E Balans VL '!N25/3.6*1000000)/100</f>
        <v>2934.3843742012505</v>
      </c>
      <c r="G5" s="18"/>
      <c r="H5" s="17"/>
      <c r="I5" s="17"/>
      <c r="J5" s="17">
        <f>('E Balans VL '!D25+'E Balans VL '!E25)/3.6*1000000*landbouw!B17/100</f>
        <v>177.31182283116266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1156.5487000000001</v>
      </c>
      <c r="C8" s="21">
        <f>C5+C6</f>
        <v>0</v>
      </c>
      <c r="D8" s="21">
        <f>MAX((D5+D6),0)</f>
        <v>946.12892046977618</v>
      </c>
      <c r="E8" s="21">
        <f>MAX((E5+E6),0)</f>
        <v>10.712438466523192</v>
      </c>
      <c r="F8" s="21">
        <f>MAX((F5+F6),0)</f>
        <v>2934.3843742012505</v>
      </c>
      <c r="G8" s="21"/>
      <c r="H8" s="21"/>
      <c r="I8" s="21"/>
      <c r="J8" s="21">
        <f>MAX((J5+J6),0)</f>
        <v>177.31182283116266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0.20550240989957233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237.67354501621753</v>
      </c>
      <c r="C12" s="23">
        <f ca="1">C8*C10</f>
        <v>0</v>
      </c>
      <c r="D12" s="23">
        <f>D8*D10</f>
        <v>191.11804193489479</v>
      </c>
      <c r="E12" s="23">
        <f>E8*E10</f>
        <v>2.4317235319007646</v>
      </c>
      <c r="F12" s="23">
        <f>F8*F10</f>
        <v>783.4806279117339</v>
      </c>
      <c r="G12" s="23"/>
      <c r="H12" s="23"/>
      <c r="I12" s="23"/>
      <c r="J12" s="23">
        <f>J8*J10</f>
        <v>62.768385282231577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0.16443670206876992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277.76289288613924</v>
      </c>
      <c r="C26" s="247">
        <f>B26*'GWP N2O_CH4'!B5</f>
        <v>5833.0207506089237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139.17197944530977</v>
      </c>
      <c r="C27" s="247">
        <f>B27*'GWP N2O_CH4'!B5</f>
        <v>2922.6115683515054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4.1250890171021739</v>
      </c>
      <c r="C28" s="247">
        <f>B28*'GWP N2O_CH4'!B4</f>
        <v>1278.777595301674</v>
      </c>
      <c r="D28" s="50"/>
    </row>
    <row r="29" spans="1:4">
      <c r="A29" s="41" t="s">
        <v>277</v>
      </c>
      <c r="B29" s="247">
        <f>B34*'ha_N2O bodem landbouw'!B4</f>
        <v>11.763361761266324</v>
      </c>
      <c r="C29" s="247">
        <f>B29*'GWP N2O_CH4'!B4</f>
        <v>3646.6421459925605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2.6383148042569363E-3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3.2272761153658214E-5</v>
      </c>
      <c r="C5" s="464" t="s">
        <v>211</v>
      </c>
      <c r="D5" s="449">
        <f>SUM(D6:D11)</f>
        <v>9.3237788248061009E-5</v>
      </c>
      <c r="E5" s="449">
        <f>SUM(E6:E11)</f>
        <v>5.856366287633097E-4</v>
      </c>
      <c r="F5" s="462" t="s">
        <v>211</v>
      </c>
      <c r="G5" s="449">
        <f>SUM(G6:G11)</f>
        <v>0.179385848445484</v>
      </c>
      <c r="H5" s="449">
        <f>SUM(H6:H11)</f>
        <v>3.5032722334358904E-2</v>
      </c>
      <c r="I5" s="464" t="s">
        <v>211</v>
      </c>
      <c r="J5" s="464" t="s">
        <v>211</v>
      </c>
      <c r="K5" s="464" t="s">
        <v>211</v>
      </c>
      <c r="L5" s="464" t="s">
        <v>211</v>
      </c>
      <c r="M5" s="449">
        <f>SUM(M6:M11)</f>
        <v>1.1455093938773749E-2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2.1819311215743859E-5</v>
      </c>
      <c r="C6" s="450"/>
      <c r="D6" s="963">
        <f>vkm_2011_GW_PW*SUMIFS(TableVerdeelsleutelVkm[CNG],TableVerdeelsleutelVkm[Voertuigtype],"Lichte voertuigen")*SUMIFS(TableECFTransport[EnergieConsumptieFactor (PJ per km)],TableECFTransport[Index],CONCATENATE($A6,"_CNG_CNG"))</f>
        <v>5.0470469048669726E-5</v>
      </c>
      <c r="E6" s="963">
        <f>vkm_2011_GW_PW*SUMIFS(TableVerdeelsleutelVkm[LPG],TableVerdeelsleutelVkm[Voertuigtype],"Lichte voertuigen")*SUMIFS(TableECFTransport[EnergieConsumptieFactor (PJ per km)],TableECFTransport[Index],CONCATENATE($A6,"_LPG_LPG"))</f>
        <v>3.2863321618239593E-4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6.8271119344657488E-2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1.9244217678424845E-2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4.5415923179590962E-3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5.161839595270782E-2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1.7652553982087766E-5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2.9864167922103672E-3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1.0453449937914353E-5</v>
      </c>
      <c r="C8" s="450"/>
      <c r="D8" s="452">
        <f>vkm_2011_NGW_PW*SUMIFS(TableVerdeelsleutelVkm[CNG],TableVerdeelsleutelVkm[Voertuigtype],"Lichte voertuigen")*SUMIFS(TableECFTransport[EnergieConsumptieFactor (PJ per km)],TableECFTransport[Index],CONCATENATE($A8,"_CNG_CNG"))</f>
        <v>4.2767319199391276E-5</v>
      </c>
      <c r="E8" s="452">
        <f>vkm_2011_NGW_PW*SUMIFS(TableVerdeelsleutelVkm[LPG],TableVerdeelsleutelVkm[Voertuigtype],"Lichte voertuigen")*SUMIFS(TableECFTransport[EnergieConsumptieFactor (PJ per km)],TableECFTransport[Index],CONCATENATE($A8,"_LPG_LPG"))</f>
        <v>2.5700341258091383E-4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4.990968516861749E-2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1.5767749974337646E-2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3.3724483318412352E-3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9.5866479795012061E-3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3.102127614326712E-6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5.5463649676305155E-4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8.9646558760161703</v>
      </c>
      <c r="C14" s="21"/>
      <c r="D14" s="21">
        <f t="shared" ref="D14:M14" si="0">((D5)*10^9/3600)+D12</f>
        <v>25.899385624461392</v>
      </c>
      <c r="E14" s="21">
        <f t="shared" si="0"/>
        <v>162.67684132314159</v>
      </c>
      <c r="F14" s="21"/>
      <c r="G14" s="21">
        <f t="shared" si="0"/>
        <v>49829.40234596777</v>
      </c>
      <c r="H14" s="21">
        <f t="shared" si="0"/>
        <v>9731.3117595441399</v>
      </c>
      <c r="I14" s="21"/>
      <c r="J14" s="21"/>
      <c r="K14" s="21"/>
      <c r="L14" s="21"/>
      <c r="M14" s="21">
        <f t="shared" si="0"/>
        <v>3181.9705385482639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0.20550240989957233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1.8422583864416846</v>
      </c>
      <c r="C18" s="23"/>
      <c r="D18" s="23">
        <f t="shared" ref="D18:M18" si="1">D14*D16</f>
        <v>5.2316758961412013</v>
      </c>
      <c r="E18" s="23">
        <f t="shared" si="1"/>
        <v>36.927642980353141</v>
      </c>
      <c r="F18" s="23"/>
      <c r="G18" s="23">
        <f t="shared" si="1"/>
        <v>13304.450426373396</v>
      </c>
      <c r="H18" s="23">
        <f t="shared" si="1"/>
        <v>2423.0966281264909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2.0784960472099113E-3</v>
      </c>
      <c r="H50" s="321">
        <f t="shared" si="2"/>
        <v>0</v>
      </c>
      <c r="I50" s="321">
        <f t="shared" si="2"/>
        <v>0</v>
      </c>
      <c r="J50" s="321">
        <f t="shared" si="2"/>
        <v>0</v>
      </c>
      <c r="K50" s="321">
        <f t="shared" si="2"/>
        <v>0</v>
      </c>
      <c r="L50" s="321">
        <f t="shared" si="2"/>
        <v>0</v>
      </c>
      <c r="M50" s="321">
        <f t="shared" si="2"/>
        <v>1.1853057042909024E-4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2.0784960472099113E-3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1.1853057042909024E-4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577.36001311386428</v>
      </c>
      <c r="H54" s="21">
        <f t="shared" si="3"/>
        <v>0</v>
      </c>
      <c r="I54" s="21">
        <f t="shared" si="3"/>
        <v>0</v>
      </c>
      <c r="J54" s="21">
        <f t="shared" si="3"/>
        <v>0</v>
      </c>
      <c r="K54" s="21">
        <f t="shared" si="3"/>
        <v>0</v>
      </c>
      <c r="L54" s="21">
        <f t="shared" si="3"/>
        <v>0</v>
      </c>
      <c r="M54" s="21">
        <f t="shared" si="3"/>
        <v>32.925158452525068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0.20550240989957233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154.15512350140176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5060.130277026291</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5060.130277026291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17636.841499999999</v>
      </c>
      <c r="D10" s="719">
        <f ca="1">tertiair!C16</f>
        <v>0</v>
      </c>
      <c r="E10" s="719">
        <f ca="1">tertiair!D16</f>
        <v>11404.831529269866</v>
      </c>
      <c r="F10" s="719">
        <f>tertiair!E16</f>
        <v>187.60824603220541</v>
      </c>
      <c r="G10" s="719">
        <f ca="1">tertiair!F16</f>
        <v>2488.7761870255486</v>
      </c>
      <c r="H10" s="719">
        <f>tertiair!G16</f>
        <v>0</v>
      </c>
      <c r="I10" s="719">
        <f>tertiair!H16</f>
        <v>0</v>
      </c>
      <c r="J10" s="719">
        <f>tertiair!I16</f>
        <v>0</v>
      </c>
      <c r="K10" s="719">
        <f>tertiair!J16</f>
        <v>0</v>
      </c>
      <c r="L10" s="719">
        <f>tertiair!K16</f>
        <v>0</v>
      </c>
      <c r="M10" s="719">
        <f ca="1">tertiair!L16</f>
        <v>0</v>
      </c>
      <c r="N10" s="719">
        <f>tertiair!M16</f>
        <v>0</v>
      </c>
      <c r="O10" s="719">
        <f ca="1">tertiair!N16</f>
        <v>1504.9146466993702</v>
      </c>
      <c r="P10" s="719">
        <f>tertiair!O16</f>
        <v>1.5633333333333335</v>
      </c>
      <c r="Q10" s="720">
        <f>tertiair!P16</f>
        <v>0</v>
      </c>
      <c r="R10" s="722">
        <f ca="1">SUM(C10:Q10)</f>
        <v>33224.53544236032</v>
      </c>
      <c r="S10" s="67"/>
    </row>
    <row r="11" spans="1:19" s="475" customFormat="1">
      <c r="A11" s="871" t="s">
        <v>225</v>
      </c>
      <c r="B11" s="876"/>
      <c r="C11" s="719">
        <f>huishoudens!B8</f>
        <v>31305.451638907874</v>
      </c>
      <c r="D11" s="719">
        <f>huishoudens!C8</f>
        <v>0</v>
      </c>
      <c r="E11" s="719">
        <f>huishoudens!D8</f>
        <v>32030.764651405381</v>
      </c>
      <c r="F11" s="719">
        <f>huishoudens!E8</f>
        <v>4519.693306549445</v>
      </c>
      <c r="G11" s="719">
        <f>huishoudens!F8</f>
        <v>43334.861866739077</v>
      </c>
      <c r="H11" s="719">
        <f>huishoudens!G8</f>
        <v>0</v>
      </c>
      <c r="I11" s="719">
        <f>huishoudens!H8</f>
        <v>0</v>
      </c>
      <c r="J11" s="719">
        <f>huishoudens!I8</f>
        <v>0</v>
      </c>
      <c r="K11" s="719">
        <f>huishoudens!J8</f>
        <v>0</v>
      </c>
      <c r="L11" s="719">
        <f>huishoudens!K8</f>
        <v>0</v>
      </c>
      <c r="M11" s="719">
        <f>huishoudens!L8</f>
        <v>0</v>
      </c>
      <c r="N11" s="719">
        <f>huishoudens!M8</f>
        <v>0</v>
      </c>
      <c r="O11" s="719">
        <f>huishoudens!N8</f>
        <v>12768.617072297133</v>
      </c>
      <c r="P11" s="719">
        <f>huishoudens!O8</f>
        <v>361.13000000000005</v>
      </c>
      <c r="Q11" s="720">
        <f>huishoudens!P8</f>
        <v>610.13333333333333</v>
      </c>
      <c r="R11" s="722">
        <f>SUM(C11:Q11)</f>
        <v>124930.65186923226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22051.076530000002</v>
      </c>
      <c r="D13" s="719">
        <f>industrie!C18</f>
        <v>0</v>
      </c>
      <c r="E13" s="719">
        <f>industrie!D18</f>
        <v>16208.630065075011</v>
      </c>
      <c r="F13" s="719">
        <f>industrie!E18</f>
        <v>2015.5766938642512</v>
      </c>
      <c r="G13" s="719">
        <f>industrie!F18</f>
        <v>19587.58211344793</v>
      </c>
      <c r="H13" s="719">
        <f>industrie!G18</f>
        <v>0</v>
      </c>
      <c r="I13" s="719">
        <f>industrie!H18</f>
        <v>0</v>
      </c>
      <c r="J13" s="719">
        <f>industrie!I18</f>
        <v>0</v>
      </c>
      <c r="K13" s="719">
        <f>industrie!J18</f>
        <v>185.7130353713795</v>
      </c>
      <c r="L13" s="719">
        <f>industrie!K18</f>
        <v>0</v>
      </c>
      <c r="M13" s="719">
        <f>industrie!L18</f>
        <v>0</v>
      </c>
      <c r="N13" s="719">
        <f>industrie!M18</f>
        <v>0</v>
      </c>
      <c r="O13" s="719">
        <f>industrie!N18</f>
        <v>6552.69374295328</v>
      </c>
      <c r="P13" s="719">
        <f>industrie!O18</f>
        <v>0</v>
      </c>
      <c r="Q13" s="720">
        <f>industrie!P18</f>
        <v>0</v>
      </c>
      <c r="R13" s="722">
        <f>SUM(C13:Q13)</f>
        <v>66601.272180711851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70993.369668907879</v>
      </c>
      <c r="D15" s="724">
        <f t="shared" ref="D15:Q15" ca="1" si="0">SUM(D9:D14)</f>
        <v>0</v>
      </c>
      <c r="E15" s="724">
        <f t="shared" ca="1" si="0"/>
        <v>59644.226245750258</v>
      </c>
      <c r="F15" s="724">
        <f t="shared" si="0"/>
        <v>6722.8782464459009</v>
      </c>
      <c r="G15" s="724">
        <f t="shared" ca="1" si="0"/>
        <v>65411.220167212552</v>
      </c>
      <c r="H15" s="724">
        <f t="shared" si="0"/>
        <v>0</v>
      </c>
      <c r="I15" s="724">
        <f t="shared" si="0"/>
        <v>0</v>
      </c>
      <c r="J15" s="724">
        <f t="shared" si="0"/>
        <v>0</v>
      </c>
      <c r="K15" s="724">
        <f t="shared" si="0"/>
        <v>185.7130353713795</v>
      </c>
      <c r="L15" s="724">
        <f t="shared" si="0"/>
        <v>0</v>
      </c>
      <c r="M15" s="724">
        <f t="shared" ca="1" si="0"/>
        <v>0</v>
      </c>
      <c r="N15" s="724">
        <f t="shared" si="0"/>
        <v>0</v>
      </c>
      <c r="O15" s="724">
        <f t="shared" ca="1" si="0"/>
        <v>20826.225461949783</v>
      </c>
      <c r="P15" s="724">
        <f t="shared" si="0"/>
        <v>362.69333333333338</v>
      </c>
      <c r="Q15" s="725">
        <f t="shared" si="0"/>
        <v>610.13333333333333</v>
      </c>
      <c r="R15" s="726">
        <f ca="1">SUM(R9:R14)</f>
        <v>224756.45949230442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577.36001311386428</v>
      </c>
      <c r="I18" s="719">
        <f>transport!H54</f>
        <v>0</v>
      </c>
      <c r="J18" s="719">
        <f>transport!I54</f>
        <v>0</v>
      </c>
      <c r="K18" s="719">
        <f>transport!J54</f>
        <v>0</v>
      </c>
      <c r="L18" s="719">
        <f>transport!K54</f>
        <v>0</v>
      </c>
      <c r="M18" s="719">
        <f>transport!L54</f>
        <v>0</v>
      </c>
      <c r="N18" s="719">
        <f>transport!M54</f>
        <v>32.925158452525068</v>
      </c>
      <c r="O18" s="719">
        <f>transport!N54</f>
        <v>0</v>
      </c>
      <c r="P18" s="719">
        <f>transport!O54</f>
        <v>0</v>
      </c>
      <c r="Q18" s="720">
        <f>transport!P54</f>
        <v>0</v>
      </c>
      <c r="R18" s="722">
        <f>SUM(C18:Q18)</f>
        <v>610.28517156638941</v>
      </c>
      <c r="S18" s="67"/>
    </row>
    <row r="19" spans="1:19" s="475" customFormat="1" ht="15" thickBot="1">
      <c r="A19" s="871" t="s">
        <v>307</v>
      </c>
      <c r="B19" s="876"/>
      <c r="C19" s="728">
        <f>transport!B14</f>
        <v>8.9646558760161703</v>
      </c>
      <c r="D19" s="728">
        <f>transport!C14</f>
        <v>0</v>
      </c>
      <c r="E19" s="728">
        <f>transport!D14</f>
        <v>25.899385624461392</v>
      </c>
      <c r="F19" s="728">
        <f>transport!E14</f>
        <v>162.67684132314159</v>
      </c>
      <c r="G19" s="728">
        <f>transport!F14</f>
        <v>0</v>
      </c>
      <c r="H19" s="728">
        <f>transport!G14</f>
        <v>49829.40234596777</v>
      </c>
      <c r="I19" s="728">
        <f>transport!H14</f>
        <v>9731.3117595441399</v>
      </c>
      <c r="J19" s="728">
        <f>transport!I14</f>
        <v>0</v>
      </c>
      <c r="K19" s="728">
        <f>transport!J14</f>
        <v>0</v>
      </c>
      <c r="L19" s="728">
        <f>transport!K14</f>
        <v>0</v>
      </c>
      <c r="M19" s="728">
        <f>transport!L14</f>
        <v>0</v>
      </c>
      <c r="N19" s="728">
        <f>transport!M14</f>
        <v>3181.9705385482639</v>
      </c>
      <c r="O19" s="728">
        <f>transport!N14</f>
        <v>0</v>
      </c>
      <c r="P19" s="728">
        <f>transport!O14</f>
        <v>0</v>
      </c>
      <c r="Q19" s="729">
        <f>transport!P14</f>
        <v>0</v>
      </c>
      <c r="R19" s="730">
        <f>SUM(C19:Q19)</f>
        <v>62940.225526883791</v>
      </c>
      <c r="S19" s="67"/>
    </row>
    <row r="20" spans="1:19" s="475" customFormat="1" ht="15.75" thickBot="1">
      <c r="A20" s="731" t="s">
        <v>230</v>
      </c>
      <c r="B20" s="879"/>
      <c r="C20" s="874">
        <f>SUM(C17:C19)</f>
        <v>8.9646558760161703</v>
      </c>
      <c r="D20" s="732">
        <f t="shared" ref="D20:R20" si="1">SUM(D17:D19)</f>
        <v>0</v>
      </c>
      <c r="E20" s="732">
        <f t="shared" si="1"/>
        <v>25.899385624461392</v>
      </c>
      <c r="F20" s="732">
        <f t="shared" si="1"/>
        <v>162.67684132314159</v>
      </c>
      <c r="G20" s="732">
        <f t="shared" si="1"/>
        <v>0</v>
      </c>
      <c r="H20" s="732">
        <f t="shared" si="1"/>
        <v>50406.762359081637</v>
      </c>
      <c r="I20" s="732">
        <f t="shared" si="1"/>
        <v>9731.3117595441399</v>
      </c>
      <c r="J20" s="732">
        <f t="shared" si="1"/>
        <v>0</v>
      </c>
      <c r="K20" s="732">
        <f t="shared" si="1"/>
        <v>0</v>
      </c>
      <c r="L20" s="732">
        <f t="shared" si="1"/>
        <v>0</v>
      </c>
      <c r="M20" s="732">
        <f t="shared" si="1"/>
        <v>0</v>
      </c>
      <c r="N20" s="732">
        <f t="shared" si="1"/>
        <v>3214.8956970007889</v>
      </c>
      <c r="O20" s="732">
        <f t="shared" si="1"/>
        <v>0</v>
      </c>
      <c r="P20" s="732">
        <f t="shared" si="1"/>
        <v>0</v>
      </c>
      <c r="Q20" s="733">
        <f t="shared" si="1"/>
        <v>0</v>
      </c>
      <c r="R20" s="734">
        <f t="shared" si="1"/>
        <v>63550.510698450184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1156.5487000000001</v>
      </c>
      <c r="D22" s="728">
        <f>+landbouw!C8</f>
        <v>0</v>
      </c>
      <c r="E22" s="728">
        <f>+landbouw!D8</f>
        <v>946.12892046977618</v>
      </c>
      <c r="F22" s="728">
        <f>+landbouw!E8</f>
        <v>10.712438466523192</v>
      </c>
      <c r="G22" s="728">
        <f>+landbouw!F8</f>
        <v>2934.3843742012505</v>
      </c>
      <c r="H22" s="728">
        <f>+landbouw!G8</f>
        <v>0</v>
      </c>
      <c r="I22" s="728">
        <f>+landbouw!H8</f>
        <v>0</v>
      </c>
      <c r="J22" s="728">
        <f>+landbouw!I8</f>
        <v>0</v>
      </c>
      <c r="K22" s="728">
        <f>+landbouw!J8</f>
        <v>177.31182283116266</v>
      </c>
      <c r="L22" s="728">
        <f>+landbouw!K8</f>
        <v>0</v>
      </c>
      <c r="M22" s="728">
        <f>+landbouw!L8</f>
        <v>0</v>
      </c>
      <c r="N22" s="728">
        <f>+landbouw!M8</f>
        <v>0</v>
      </c>
      <c r="O22" s="728">
        <f>+landbouw!N8</f>
        <v>0</v>
      </c>
      <c r="P22" s="728">
        <f>+landbouw!O8</f>
        <v>0</v>
      </c>
      <c r="Q22" s="729">
        <f>+landbouw!P8</f>
        <v>0</v>
      </c>
      <c r="R22" s="730">
        <f>SUM(C22:Q22)</f>
        <v>5225.0862559687121</v>
      </c>
      <c r="S22" s="67"/>
    </row>
    <row r="23" spans="1:19" s="475" customFormat="1" ht="17.25" thickTop="1" thickBot="1">
      <c r="A23" s="735" t="s">
        <v>116</v>
      </c>
      <c r="B23" s="865"/>
      <c r="C23" s="736">
        <f ca="1">C20+C15+C22</f>
        <v>72158.883024783892</v>
      </c>
      <c r="D23" s="736">
        <f t="shared" ref="D23:Q23" ca="1" si="2">D20+D15+D22</f>
        <v>0</v>
      </c>
      <c r="E23" s="736">
        <f t="shared" ca="1" si="2"/>
        <v>60616.254551844497</v>
      </c>
      <c r="F23" s="736">
        <f t="shared" si="2"/>
        <v>6896.2675262355651</v>
      </c>
      <c r="G23" s="736">
        <f t="shared" ca="1" si="2"/>
        <v>68345.604541413806</v>
      </c>
      <c r="H23" s="736">
        <f t="shared" si="2"/>
        <v>50406.762359081637</v>
      </c>
      <c r="I23" s="736">
        <f t="shared" si="2"/>
        <v>9731.3117595441399</v>
      </c>
      <c r="J23" s="736">
        <f t="shared" si="2"/>
        <v>0</v>
      </c>
      <c r="K23" s="736">
        <f t="shared" si="2"/>
        <v>363.02485820254219</v>
      </c>
      <c r="L23" s="736">
        <f t="shared" si="2"/>
        <v>0</v>
      </c>
      <c r="M23" s="736">
        <f t="shared" ca="1" si="2"/>
        <v>0</v>
      </c>
      <c r="N23" s="736">
        <f t="shared" si="2"/>
        <v>3214.8956970007889</v>
      </c>
      <c r="O23" s="736">
        <f t="shared" ca="1" si="2"/>
        <v>20826.225461949783</v>
      </c>
      <c r="P23" s="736">
        <f t="shared" si="2"/>
        <v>362.69333333333338</v>
      </c>
      <c r="Q23" s="737">
        <f t="shared" si="2"/>
        <v>610.13333333333333</v>
      </c>
      <c r="R23" s="738">
        <f ca="1">R20+R15+R22</f>
        <v>293532.05644672335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3624.4134312667875</v>
      </c>
      <c r="D36" s="719">
        <f ca="1">tertiair!C20</f>
        <v>0</v>
      </c>
      <c r="E36" s="719">
        <f ca="1">tertiair!D20</f>
        <v>2303.7759689125132</v>
      </c>
      <c r="F36" s="719">
        <f>tertiair!E20</f>
        <v>42.587071849310632</v>
      </c>
      <c r="G36" s="719">
        <f ca="1">tertiair!F20</f>
        <v>664.50324193582151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6635.2797139644326</v>
      </c>
    </row>
    <row r="37" spans="1:18">
      <c r="A37" s="886" t="s">
        <v>225</v>
      </c>
      <c r="B37" s="893"/>
      <c r="C37" s="719">
        <f ca="1">huishoudens!B12</f>
        <v>6433.3457547900844</v>
      </c>
      <c r="D37" s="719">
        <f ca="1">huishoudens!C12</f>
        <v>0</v>
      </c>
      <c r="E37" s="719">
        <f>huishoudens!D12</f>
        <v>6470.2144595838872</v>
      </c>
      <c r="F37" s="719">
        <f>huishoudens!E12</f>
        <v>1025.9703805867241</v>
      </c>
      <c r="G37" s="719">
        <f>huishoudens!F12</f>
        <v>11570.408118419335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25499.93871338003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4531.5493677948998</v>
      </c>
      <c r="D39" s="719">
        <f ca="1">industrie!C22</f>
        <v>0</v>
      </c>
      <c r="E39" s="719">
        <f>industrie!D22</f>
        <v>3274.1432731451523</v>
      </c>
      <c r="F39" s="719">
        <f>industrie!E22</f>
        <v>457.53590950718501</v>
      </c>
      <c r="G39" s="719">
        <f>industrie!F22</f>
        <v>5229.884424290598</v>
      </c>
      <c r="H39" s="719">
        <f>industrie!G22</f>
        <v>0</v>
      </c>
      <c r="I39" s="719">
        <f>industrie!H22</f>
        <v>0</v>
      </c>
      <c r="J39" s="719">
        <f>industrie!I22</f>
        <v>0</v>
      </c>
      <c r="K39" s="719">
        <f>industrie!J22</f>
        <v>65.742414521468348</v>
      </c>
      <c r="L39" s="719">
        <f>industrie!K22</f>
        <v>0</v>
      </c>
      <c r="M39" s="719">
        <f>industrie!L22</f>
        <v>0</v>
      </c>
      <c r="N39" s="719">
        <f>industrie!M22</f>
        <v>0</v>
      </c>
      <c r="O39" s="719">
        <f>industrie!N22</f>
        <v>0</v>
      </c>
      <c r="P39" s="719">
        <f>industrie!O22</f>
        <v>0</v>
      </c>
      <c r="Q39" s="829">
        <f>industrie!P22</f>
        <v>0</v>
      </c>
      <c r="R39" s="919">
        <f ca="1">SUM(C39:Q39)</f>
        <v>13558.855389259303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14589.308553851772</v>
      </c>
      <c r="D41" s="764">
        <f t="shared" ref="D41:R41" ca="1" si="4">SUM(D35:D40)</f>
        <v>0</v>
      </c>
      <c r="E41" s="764">
        <f t="shared" ca="1" si="4"/>
        <v>12048.133701641553</v>
      </c>
      <c r="F41" s="764">
        <f t="shared" si="4"/>
        <v>1526.0933619432199</v>
      </c>
      <c r="G41" s="764">
        <f t="shared" ca="1" si="4"/>
        <v>17464.795784645754</v>
      </c>
      <c r="H41" s="764">
        <f t="shared" si="4"/>
        <v>0</v>
      </c>
      <c r="I41" s="764">
        <f t="shared" si="4"/>
        <v>0</v>
      </c>
      <c r="J41" s="764">
        <f t="shared" si="4"/>
        <v>0</v>
      </c>
      <c r="K41" s="764">
        <f t="shared" si="4"/>
        <v>65.742414521468348</v>
      </c>
      <c r="L41" s="764">
        <f t="shared" si="4"/>
        <v>0</v>
      </c>
      <c r="M41" s="764">
        <f t="shared" ca="1" si="4"/>
        <v>0</v>
      </c>
      <c r="N41" s="764">
        <f t="shared" si="4"/>
        <v>0</v>
      </c>
      <c r="O41" s="764">
        <f t="shared" ca="1" si="4"/>
        <v>0</v>
      </c>
      <c r="P41" s="764">
        <f t="shared" si="4"/>
        <v>0</v>
      </c>
      <c r="Q41" s="765">
        <f t="shared" si="4"/>
        <v>0</v>
      </c>
      <c r="R41" s="766">
        <f t="shared" ca="1" si="4"/>
        <v>45694.073816603763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154.15512350140176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154.15512350140176</v>
      </c>
    </row>
    <row r="45" spans="1:18" ht="15" thickBot="1">
      <c r="A45" s="889" t="s">
        <v>307</v>
      </c>
      <c r="B45" s="899"/>
      <c r="C45" s="728">
        <f ca="1">transport!B18</f>
        <v>1.8422583864416846</v>
      </c>
      <c r="D45" s="728">
        <f>transport!C18</f>
        <v>0</v>
      </c>
      <c r="E45" s="728">
        <f>transport!D18</f>
        <v>5.2316758961412013</v>
      </c>
      <c r="F45" s="728">
        <f>transport!E18</f>
        <v>36.927642980353141</v>
      </c>
      <c r="G45" s="728">
        <f>transport!F18</f>
        <v>0</v>
      </c>
      <c r="H45" s="728">
        <f>transport!G18</f>
        <v>13304.450426373396</v>
      </c>
      <c r="I45" s="728">
        <f>transport!H18</f>
        <v>2423.0966281264909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15771.548631762824</v>
      </c>
    </row>
    <row r="46" spans="1:18" ht="15.75" thickBot="1">
      <c r="A46" s="887" t="s">
        <v>230</v>
      </c>
      <c r="B46" s="900"/>
      <c r="C46" s="764">
        <f t="shared" ref="C46:R46" ca="1" si="5">SUM(C43:C45)</f>
        <v>1.8422583864416846</v>
      </c>
      <c r="D46" s="764">
        <f t="shared" ca="1" si="5"/>
        <v>0</v>
      </c>
      <c r="E46" s="764">
        <f t="shared" si="5"/>
        <v>5.2316758961412013</v>
      </c>
      <c r="F46" s="764">
        <f t="shared" si="5"/>
        <v>36.927642980353141</v>
      </c>
      <c r="G46" s="764">
        <f t="shared" si="5"/>
        <v>0</v>
      </c>
      <c r="H46" s="764">
        <f t="shared" si="5"/>
        <v>13458.605549874797</v>
      </c>
      <c r="I46" s="764">
        <f t="shared" si="5"/>
        <v>2423.0966281264909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15925.703755264225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237.67354501621753</v>
      </c>
      <c r="D48" s="719">
        <f ca="1">+landbouw!C12</f>
        <v>0</v>
      </c>
      <c r="E48" s="719">
        <f>+landbouw!D12</f>
        <v>191.11804193489479</v>
      </c>
      <c r="F48" s="719">
        <f>+landbouw!E12</f>
        <v>2.4317235319007646</v>
      </c>
      <c r="G48" s="719">
        <f>+landbouw!F12</f>
        <v>783.4806279117339</v>
      </c>
      <c r="H48" s="719">
        <f>+landbouw!G12</f>
        <v>0</v>
      </c>
      <c r="I48" s="719">
        <f>+landbouw!H12</f>
        <v>0</v>
      </c>
      <c r="J48" s="719">
        <f>+landbouw!I12</f>
        <v>0</v>
      </c>
      <c r="K48" s="719">
        <f>+landbouw!J12</f>
        <v>62.768385282231577</v>
      </c>
      <c r="L48" s="719">
        <f>+landbouw!K12</f>
        <v>0</v>
      </c>
      <c r="M48" s="719">
        <f>+landbouw!L12</f>
        <v>0</v>
      </c>
      <c r="N48" s="719">
        <f>+landbouw!M12</f>
        <v>0</v>
      </c>
      <c r="O48" s="719">
        <f>+landbouw!N12</f>
        <v>0</v>
      </c>
      <c r="P48" s="719">
        <f>+landbouw!O12</f>
        <v>0</v>
      </c>
      <c r="Q48" s="720">
        <f>+landbouw!P12</f>
        <v>0</v>
      </c>
      <c r="R48" s="762">
        <f ca="1">SUM(C48:Q48)</f>
        <v>1277.4723236769785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14828.824357254431</v>
      </c>
      <c r="D53" s="774">
        <f t="shared" ref="D53:Q53" ca="1" si="6">D41+D46+D48</f>
        <v>0</v>
      </c>
      <c r="E53" s="774">
        <f t="shared" ca="1" si="6"/>
        <v>12244.483419472588</v>
      </c>
      <c r="F53" s="774">
        <f t="shared" si="6"/>
        <v>1565.4527284554738</v>
      </c>
      <c r="G53" s="774">
        <f t="shared" ca="1" si="6"/>
        <v>18248.276412557487</v>
      </c>
      <c r="H53" s="774">
        <f t="shared" si="6"/>
        <v>13458.605549874797</v>
      </c>
      <c r="I53" s="774">
        <f t="shared" si="6"/>
        <v>2423.0966281264909</v>
      </c>
      <c r="J53" s="774">
        <f t="shared" si="6"/>
        <v>0</v>
      </c>
      <c r="K53" s="774">
        <f t="shared" si="6"/>
        <v>128.51079980369991</v>
      </c>
      <c r="L53" s="774">
        <f t="shared" si="6"/>
        <v>0</v>
      </c>
      <c r="M53" s="774">
        <f t="shared" ca="1" si="6"/>
        <v>0</v>
      </c>
      <c r="N53" s="774">
        <f t="shared" si="6"/>
        <v>0</v>
      </c>
      <c r="O53" s="774">
        <f t="shared" ca="1" si="6"/>
        <v>0</v>
      </c>
      <c r="P53" s="774">
        <f>P41+P46+P48</f>
        <v>0</v>
      </c>
      <c r="Q53" s="775">
        <f t="shared" si="6"/>
        <v>0</v>
      </c>
      <c r="R53" s="776">
        <f ca="1">R41+R46+R48</f>
        <v>62897.24989554497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0.20550240989957233</v>
      </c>
      <c r="D55" s="837">
        <f t="shared" ca="1" si="7"/>
        <v>0</v>
      </c>
      <c r="E55" s="837">
        <f t="shared" ca="1" si="7"/>
        <v>0.20199999999999999</v>
      </c>
      <c r="F55" s="837">
        <f t="shared" si="7"/>
        <v>0.22700000000000006</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5060.130277026291</v>
      </c>
      <c r="C66" s="796">
        <f>'lokale energieproductie'!B6</f>
        <v>5060.130277026291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5060.130277026291</v>
      </c>
      <c r="C69" s="804">
        <f>SUM(C64:C68)</f>
        <v>5060.130277026291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31305.451638907874</v>
      </c>
      <c r="C4" s="479">
        <f>huishoudens!C8</f>
        <v>0</v>
      </c>
      <c r="D4" s="479">
        <f>huishoudens!D8</f>
        <v>32030.764651405381</v>
      </c>
      <c r="E4" s="479">
        <f>huishoudens!E8</f>
        <v>4519.693306549445</v>
      </c>
      <c r="F4" s="479">
        <f>huishoudens!F8</f>
        <v>43334.861866739077</v>
      </c>
      <c r="G4" s="479">
        <f>huishoudens!G8</f>
        <v>0</v>
      </c>
      <c r="H4" s="479">
        <f>huishoudens!H8</f>
        <v>0</v>
      </c>
      <c r="I4" s="479">
        <f>huishoudens!I8</f>
        <v>0</v>
      </c>
      <c r="J4" s="479">
        <f>huishoudens!J8</f>
        <v>0</v>
      </c>
      <c r="K4" s="479">
        <f>huishoudens!K8</f>
        <v>0</v>
      </c>
      <c r="L4" s="479">
        <f>huishoudens!L8</f>
        <v>0</v>
      </c>
      <c r="M4" s="479">
        <f>huishoudens!M8</f>
        <v>0</v>
      </c>
      <c r="N4" s="479">
        <f>huishoudens!N8</f>
        <v>12768.617072297133</v>
      </c>
      <c r="O4" s="479">
        <f>huishoudens!O8</f>
        <v>361.13000000000005</v>
      </c>
      <c r="P4" s="480">
        <f>huishoudens!P8</f>
        <v>610.13333333333333</v>
      </c>
      <c r="Q4" s="481">
        <f>SUM(B4:P4)</f>
        <v>124930.65186923226</v>
      </c>
    </row>
    <row r="5" spans="1:17">
      <c r="A5" s="478" t="s">
        <v>156</v>
      </c>
      <c r="B5" s="479">
        <f ca="1">tertiair!B16</f>
        <v>16633.747499999998</v>
      </c>
      <c r="C5" s="479">
        <f ca="1">tertiair!C16</f>
        <v>0</v>
      </c>
      <c r="D5" s="479">
        <f ca="1">tertiair!D16</f>
        <v>11404.831529269866</v>
      </c>
      <c r="E5" s="479">
        <f>tertiair!E16</f>
        <v>187.60824603220541</v>
      </c>
      <c r="F5" s="479">
        <f ca="1">tertiair!F16</f>
        <v>2488.7761870255486</v>
      </c>
      <c r="G5" s="479">
        <f>tertiair!G16</f>
        <v>0</v>
      </c>
      <c r="H5" s="479">
        <f>tertiair!H16</f>
        <v>0</v>
      </c>
      <c r="I5" s="479">
        <f>tertiair!I16</f>
        <v>0</v>
      </c>
      <c r="J5" s="479">
        <f>tertiair!J16</f>
        <v>0</v>
      </c>
      <c r="K5" s="479">
        <f>tertiair!K16</f>
        <v>0</v>
      </c>
      <c r="L5" s="479">
        <f ca="1">tertiair!L16</f>
        <v>0</v>
      </c>
      <c r="M5" s="479">
        <f>tertiair!M16</f>
        <v>0</v>
      </c>
      <c r="N5" s="479">
        <f ca="1">tertiair!N16</f>
        <v>1504.9146466993702</v>
      </c>
      <c r="O5" s="479">
        <f>tertiair!O16</f>
        <v>1.5633333333333335</v>
      </c>
      <c r="P5" s="480">
        <f>tertiair!P16</f>
        <v>0</v>
      </c>
      <c r="Q5" s="478">
        <f t="shared" ref="Q5:Q13" ca="1" si="0">SUM(B5:P5)</f>
        <v>32221.441442360323</v>
      </c>
    </row>
    <row r="6" spans="1:17">
      <c r="A6" s="478" t="s">
        <v>194</v>
      </c>
      <c r="B6" s="479">
        <f>'openbare verlichting'!B8</f>
        <v>1003.0940000000001</v>
      </c>
      <c r="C6" s="479"/>
      <c r="D6" s="479"/>
      <c r="E6" s="479"/>
      <c r="F6" s="479"/>
      <c r="G6" s="479"/>
      <c r="H6" s="479"/>
      <c r="I6" s="479"/>
      <c r="J6" s="479"/>
      <c r="K6" s="479"/>
      <c r="L6" s="479"/>
      <c r="M6" s="479"/>
      <c r="N6" s="479"/>
      <c r="O6" s="479"/>
      <c r="P6" s="480"/>
      <c r="Q6" s="478">
        <f t="shared" si="0"/>
        <v>1003.0940000000001</v>
      </c>
    </row>
    <row r="7" spans="1:17">
      <c r="A7" s="478" t="s">
        <v>112</v>
      </c>
      <c r="B7" s="479">
        <f>landbouw!B8</f>
        <v>1156.5487000000001</v>
      </c>
      <c r="C7" s="479">
        <f>landbouw!C8</f>
        <v>0</v>
      </c>
      <c r="D7" s="479">
        <f>landbouw!D8</f>
        <v>946.12892046977618</v>
      </c>
      <c r="E7" s="479">
        <f>landbouw!E8</f>
        <v>10.712438466523192</v>
      </c>
      <c r="F7" s="479">
        <f>landbouw!F8</f>
        <v>2934.3843742012505</v>
      </c>
      <c r="G7" s="479">
        <f>landbouw!G8</f>
        <v>0</v>
      </c>
      <c r="H7" s="479">
        <f>landbouw!H8</f>
        <v>0</v>
      </c>
      <c r="I7" s="479">
        <f>landbouw!I8</f>
        <v>0</v>
      </c>
      <c r="J7" s="479">
        <f>landbouw!J8</f>
        <v>177.31182283116266</v>
      </c>
      <c r="K7" s="479">
        <f>landbouw!K8</f>
        <v>0</v>
      </c>
      <c r="L7" s="479">
        <f>landbouw!L8</f>
        <v>0</v>
      </c>
      <c r="M7" s="479">
        <f>landbouw!M8</f>
        <v>0</v>
      </c>
      <c r="N7" s="479">
        <f>landbouw!N8</f>
        <v>0</v>
      </c>
      <c r="O7" s="479">
        <f>landbouw!O8</f>
        <v>0</v>
      </c>
      <c r="P7" s="480">
        <f>landbouw!P8</f>
        <v>0</v>
      </c>
      <c r="Q7" s="478">
        <f t="shared" si="0"/>
        <v>5225.0862559687121</v>
      </c>
    </row>
    <row r="8" spans="1:17">
      <c r="A8" s="478" t="s">
        <v>650</v>
      </c>
      <c r="B8" s="479">
        <f>industrie!B18</f>
        <v>22051.076530000002</v>
      </c>
      <c r="C8" s="479">
        <f>industrie!C18</f>
        <v>0</v>
      </c>
      <c r="D8" s="479">
        <f>industrie!D18</f>
        <v>16208.630065075011</v>
      </c>
      <c r="E8" s="479">
        <f>industrie!E18</f>
        <v>2015.5766938642512</v>
      </c>
      <c r="F8" s="479">
        <f>industrie!F18</f>
        <v>19587.58211344793</v>
      </c>
      <c r="G8" s="479">
        <f>industrie!G18</f>
        <v>0</v>
      </c>
      <c r="H8" s="479">
        <f>industrie!H18</f>
        <v>0</v>
      </c>
      <c r="I8" s="479">
        <f>industrie!I18</f>
        <v>0</v>
      </c>
      <c r="J8" s="479">
        <f>industrie!J18</f>
        <v>185.7130353713795</v>
      </c>
      <c r="K8" s="479">
        <f>industrie!K18</f>
        <v>0</v>
      </c>
      <c r="L8" s="479">
        <f>industrie!L18</f>
        <v>0</v>
      </c>
      <c r="M8" s="479">
        <f>industrie!M18</f>
        <v>0</v>
      </c>
      <c r="N8" s="479">
        <f>industrie!N18</f>
        <v>6552.69374295328</v>
      </c>
      <c r="O8" s="479">
        <f>industrie!O18</f>
        <v>0</v>
      </c>
      <c r="P8" s="480">
        <f>industrie!P18</f>
        <v>0</v>
      </c>
      <c r="Q8" s="478">
        <f t="shared" si="0"/>
        <v>66601.272180711851</v>
      </c>
    </row>
    <row r="9" spans="1:17" s="484" customFormat="1">
      <c r="A9" s="482" t="s">
        <v>571</v>
      </c>
      <c r="B9" s="483">
        <f>transport!B14</f>
        <v>8.9646558760161703</v>
      </c>
      <c r="C9" s="483">
        <f>transport!C14</f>
        <v>0</v>
      </c>
      <c r="D9" s="483">
        <f>transport!D14</f>
        <v>25.899385624461392</v>
      </c>
      <c r="E9" s="483">
        <f>transport!E14</f>
        <v>162.67684132314159</v>
      </c>
      <c r="F9" s="483">
        <f>transport!F14</f>
        <v>0</v>
      </c>
      <c r="G9" s="483">
        <f>transport!G14</f>
        <v>49829.40234596777</v>
      </c>
      <c r="H9" s="483">
        <f>transport!H14</f>
        <v>9731.3117595441399</v>
      </c>
      <c r="I9" s="483">
        <f>transport!I14</f>
        <v>0</v>
      </c>
      <c r="J9" s="483">
        <f>transport!J14</f>
        <v>0</v>
      </c>
      <c r="K9" s="483">
        <f>transport!K14</f>
        <v>0</v>
      </c>
      <c r="L9" s="483">
        <f>transport!L14</f>
        <v>0</v>
      </c>
      <c r="M9" s="483">
        <f>transport!M14</f>
        <v>3181.9705385482639</v>
      </c>
      <c r="N9" s="483">
        <f>transport!N14</f>
        <v>0</v>
      </c>
      <c r="O9" s="483">
        <f>transport!O14</f>
        <v>0</v>
      </c>
      <c r="P9" s="483">
        <f>transport!P14</f>
        <v>0</v>
      </c>
      <c r="Q9" s="482">
        <f>SUM(B9:P9)</f>
        <v>62940.225526883791</v>
      </c>
    </row>
    <row r="10" spans="1:17">
      <c r="A10" s="478" t="s">
        <v>561</v>
      </c>
      <c r="B10" s="479">
        <f>transport!B54</f>
        <v>0</v>
      </c>
      <c r="C10" s="479">
        <f>transport!C54</f>
        <v>0</v>
      </c>
      <c r="D10" s="479">
        <f>transport!D54</f>
        <v>0</v>
      </c>
      <c r="E10" s="479">
        <f>transport!E54</f>
        <v>0</v>
      </c>
      <c r="F10" s="479">
        <f>transport!F54</f>
        <v>0</v>
      </c>
      <c r="G10" s="479">
        <f>transport!G54</f>
        <v>577.36001311386428</v>
      </c>
      <c r="H10" s="479">
        <f>transport!H54</f>
        <v>0</v>
      </c>
      <c r="I10" s="479">
        <f>transport!I54</f>
        <v>0</v>
      </c>
      <c r="J10" s="479">
        <f>transport!J54</f>
        <v>0</v>
      </c>
      <c r="K10" s="479">
        <f>transport!K54</f>
        <v>0</v>
      </c>
      <c r="L10" s="479">
        <f>transport!L54</f>
        <v>0</v>
      </c>
      <c r="M10" s="479">
        <f>transport!M54</f>
        <v>32.925158452525068</v>
      </c>
      <c r="N10" s="479">
        <f>transport!N54</f>
        <v>0</v>
      </c>
      <c r="O10" s="479">
        <f>transport!O54</f>
        <v>0</v>
      </c>
      <c r="P10" s="480">
        <f>transport!P54</f>
        <v>0</v>
      </c>
      <c r="Q10" s="478">
        <f t="shared" si="0"/>
        <v>610.28517156638941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72158.883024783892</v>
      </c>
      <c r="C14" s="489">
        <f t="shared" ref="C14:Q14" ca="1" si="1">SUM(C4:C13)</f>
        <v>0</v>
      </c>
      <c r="D14" s="489">
        <f t="shared" ca="1" si="1"/>
        <v>60616.254551844497</v>
      </c>
      <c r="E14" s="489">
        <f t="shared" si="1"/>
        <v>6896.2675262355651</v>
      </c>
      <c r="F14" s="489">
        <f t="shared" ca="1" si="1"/>
        <v>68345.604541413806</v>
      </c>
      <c r="G14" s="489">
        <f t="shared" si="1"/>
        <v>50406.762359081637</v>
      </c>
      <c r="H14" s="489">
        <f t="shared" si="1"/>
        <v>9731.3117595441399</v>
      </c>
      <c r="I14" s="489">
        <f t="shared" si="1"/>
        <v>0</v>
      </c>
      <c r="J14" s="489">
        <f t="shared" si="1"/>
        <v>363.02485820254219</v>
      </c>
      <c r="K14" s="489">
        <f t="shared" si="1"/>
        <v>0</v>
      </c>
      <c r="L14" s="489">
        <f t="shared" ca="1" si="1"/>
        <v>0</v>
      </c>
      <c r="M14" s="489">
        <f t="shared" si="1"/>
        <v>3214.8956970007889</v>
      </c>
      <c r="N14" s="489">
        <f t="shared" ca="1" si="1"/>
        <v>20826.225461949783</v>
      </c>
      <c r="O14" s="489">
        <f t="shared" si="1"/>
        <v>362.69333333333338</v>
      </c>
      <c r="P14" s="490">
        <f t="shared" si="1"/>
        <v>610.13333333333333</v>
      </c>
      <c r="Q14" s="490">
        <f t="shared" ca="1" si="1"/>
        <v>293532.05644672341</v>
      </c>
    </row>
    <row r="16" spans="1:17">
      <c r="A16" s="492" t="s">
        <v>566</v>
      </c>
      <c r="B16" s="842">
        <f ca="1">huishoudens!B10</f>
        <v>0.20550240989957233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6433.3457547900844</v>
      </c>
      <c r="C21" s="479">
        <f t="shared" ref="C21:C30" ca="1" si="3">C4*$C$16</f>
        <v>0</v>
      </c>
      <c r="D21" s="479">
        <f t="shared" ref="D21:D30" si="4">D4*$D$16</f>
        <v>6470.2144595838872</v>
      </c>
      <c r="E21" s="479">
        <f t="shared" ref="E21:E30" si="5">E4*$E$16</f>
        <v>1025.9703805867241</v>
      </c>
      <c r="F21" s="479">
        <f t="shared" ref="F21:F30" si="6">F4*$F$16</f>
        <v>11570.408118419335</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25499.93871338003</v>
      </c>
    </row>
    <row r="22" spans="1:17">
      <c r="A22" s="478" t="s">
        <v>156</v>
      </c>
      <c r="B22" s="479">
        <f t="shared" ca="1" si="2"/>
        <v>3418.2751969109859</v>
      </c>
      <c r="C22" s="479">
        <f t="shared" ca="1" si="3"/>
        <v>0</v>
      </c>
      <c r="D22" s="479">
        <f t="shared" ca="1" si="4"/>
        <v>2303.7759689125132</v>
      </c>
      <c r="E22" s="479">
        <f t="shared" si="5"/>
        <v>42.587071849310632</v>
      </c>
      <c r="F22" s="479">
        <f t="shared" ca="1" si="6"/>
        <v>664.50324193582151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6429.141479608631</v>
      </c>
    </row>
    <row r="23" spans="1:17">
      <c r="A23" s="478" t="s">
        <v>194</v>
      </c>
      <c r="B23" s="479">
        <f t="shared" ca="1" si="2"/>
        <v>206.13823435580161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206.13823435580161</v>
      </c>
    </row>
    <row r="24" spans="1:17">
      <c r="A24" s="478" t="s">
        <v>112</v>
      </c>
      <c r="B24" s="479">
        <f t="shared" ca="1" si="2"/>
        <v>237.67354501621753</v>
      </c>
      <c r="C24" s="479">
        <f t="shared" ca="1" si="3"/>
        <v>0</v>
      </c>
      <c r="D24" s="479">
        <f t="shared" si="4"/>
        <v>191.11804193489479</v>
      </c>
      <c r="E24" s="479">
        <f t="shared" si="5"/>
        <v>2.4317235319007646</v>
      </c>
      <c r="F24" s="479">
        <f t="shared" si="6"/>
        <v>783.4806279117339</v>
      </c>
      <c r="G24" s="479">
        <f t="shared" si="7"/>
        <v>0</v>
      </c>
      <c r="H24" s="479">
        <f t="shared" si="8"/>
        <v>0</v>
      </c>
      <c r="I24" s="479">
        <f t="shared" si="9"/>
        <v>0</v>
      </c>
      <c r="J24" s="479">
        <f t="shared" si="10"/>
        <v>62.768385282231577</v>
      </c>
      <c r="K24" s="479">
        <f t="shared" si="11"/>
        <v>0</v>
      </c>
      <c r="L24" s="479">
        <f t="shared" si="12"/>
        <v>0</v>
      </c>
      <c r="M24" s="479">
        <f t="shared" si="13"/>
        <v>0</v>
      </c>
      <c r="N24" s="479">
        <f t="shared" si="14"/>
        <v>0</v>
      </c>
      <c r="O24" s="479">
        <f t="shared" si="15"/>
        <v>0</v>
      </c>
      <c r="P24" s="480">
        <f t="shared" si="16"/>
        <v>0</v>
      </c>
      <c r="Q24" s="478">
        <f t="shared" ca="1" si="17"/>
        <v>1277.4723236769785</v>
      </c>
    </row>
    <row r="25" spans="1:17">
      <c r="A25" s="478" t="s">
        <v>650</v>
      </c>
      <c r="B25" s="479">
        <f t="shared" ca="1" si="2"/>
        <v>4531.5493677948998</v>
      </c>
      <c r="C25" s="479">
        <f t="shared" ca="1" si="3"/>
        <v>0</v>
      </c>
      <c r="D25" s="479">
        <f t="shared" si="4"/>
        <v>3274.1432731451523</v>
      </c>
      <c r="E25" s="479">
        <f t="shared" si="5"/>
        <v>457.53590950718501</v>
      </c>
      <c r="F25" s="479">
        <f t="shared" si="6"/>
        <v>5229.884424290598</v>
      </c>
      <c r="G25" s="479">
        <f t="shared" si="7"/>
        <v>0</v>
      </c>
      <c r="H25" s="479">
        <f t="shared" si="8"/>
        <v>0</v>
      </c>
      <c r="I25" s="479">
        <f t="shared" si="9"/>
        <v>0</v>
      </c>
      <c r="J25" s="479">
        <f t="shared" si="10"/>
        <v>65.742414521468348</v>
      </c>
      <c r="K25" s="479">
        <f t="shared" si="11"/>
        <v>0</v>
      </c>
      <c r="L25" s="479">
        <f t="shared" si="12"/>
        <v>0</v>
      </c>
      <c r="M25" s="479">
        <f t="shared" si="13"/>
        <v>0</v>
      </c>
      <c r="N25" s="479">
        <f t="shared" si="14"/>
        <v>0</v>
      </c>
      <c r="O25" s="479">
        <f t="shared" si="15"/>
        <v>0</v>
      </c>
      <c r="P25" s="480">
        <f t="shared" si="16"/>
        <v>0</v>
      </c>
      <c r="Q25" s="478">
        <f t="shared" ca="1" si="17"/>
        <v>13558.855389259303</v>
      </c>
    </row>
    <row r="26" spans="1:17" s="484" customFormat="1">
      <c r="A26" s="482" t="s">
        <v>571</v>
      </c>
      <c r="B26" s="836">
        <f t="shared" ca="1" si="2"/>
        <v>1.8422583864416846</v>
      </c>
      <c r="C26" s="483">
        <f t="shared" ca="1" si="3"/>
        <v>0</v>
      </c>
      <c r="D26" s="483">
        <f t="shared" si="4"/>
        <v>5.2316758961412013</v>
      </c>
      <c r="E26" s="483">
        <f t="shared" si="5"/>
        <v>36.927642980353141</v>
      </c>
      <c r="F26" s="483">
        <f t="shared" si="6"/>
        <v>0</v>
      </c>
      <c r="G26" s="483">
        <f t="shared" si="7"/>
        <v>13304.450426373396</v>
      </c>
      <c r="H26" s="483">
        <f t="shared" si="8"/>
        <v>2423.0966281264909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15771.548631762824</v>
      </c>
    </row>
    <row r="27" spans="1:17">
      <c r="A27" s="478" t="s">
        <v>561</v>
      </c>
      <c r="B27" s="479">
        <f t="shared" ca="1" si="2"/>
        <v>0</v>
      </c>
      <c r="C27" s="479">
        <f t="shared" ca="1" si="3"/>
        <v>0</v>
      </c>
      <c r="D27" s="479">
        <f t="shared" si="4"/>
        <v>0</v>
      </c>
      <c r="E27" s="479">
        <f t="shared" si="5"/>
        <v>0</v>
      </c>
      <c r="F27" s="479">
        <f t="shared" si="6"/>
        <v>0</v>
      </c>
      <c r="G27" s="479">
        <f t="shared" si="7"/>
        <v>154.15512350140176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154.15512350140176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14828.824357254431</v>
      </c>
      <c r="C31" s="489">
        <f t="shared" ca="1" si="18"/>
        <v>0</v>
      </c>
      <c r="D31" s="489">
        <f t="shared" ca="1" si="18"/>
        <v>12244.483419472586</v>
      </c>
      <c r="E31" s="489">
        <f t="shared" si="18"/>
        <v>1565.4527284554738</v>
      </c>
      <c r="F31" s="489">
        <f t="shared" ca="1" si="18"/>
        <v>18248.27641255749</v>
      </c>
      <c r="G31" s="489">
        <f t="shared" si="18"/>
        <v>13458.605549874797</v>
      </c>
      <c r="H31" s="489">
        <f t="shared" si="18"/>
        <v>2423.0966281264909</v>
      </c>
      <c r="I31" s="489">
        <f t="shared" si="18"/>
        <v>0</v>
      </c>
      <c r="J31" s="489">
        <f t="shared" si="18"/>
        <v>128.51079980369991</v>
      </c>
      <c r="K31" s="489">
        <f t="shared" si="18"/>
        <v>0</v>
      </c>
      <c r="L31" s="489">
        <f t="shared" ca="1" si="18"/>
        <v>0</v>
      </c>
      <c r="M31" s="489">
        <f t="shared" si="18"/>
        <v>0</v>
      </c>
      <c r="N31" s="489">
        <f t="shared" ca="1" si="18"/>
        <v>0</v>
      </c>
      <c r="O31" s="489">
        <f t="shared" si="18"/>
        <v>0</v>
      </c>
      <c r="P31" s="490">
        <f t="shared" si="18"/>
        <v>0</v>
      </c>
      <c r="Q31" s="490">
        <f t="shared" ca="1" si="18"/>
        <v>62897.249895544977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0.20550240989957233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0.20550240989957233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0.20550240989957233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2018-06-27T09:37:58Z</dcterms:modified>
</cp:coreProperties>
</file>