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B8" i="9"/>
  <c r="B6" i="48" s="1"/>
  <c r="Q6" s="1"/>
  <c r="D6" i="17"/>
  <c r="D8" s="1"/>
  <c r="J15" i="16"/>
  <c r="C16" i="15"/>
  <c r="F8" i="17"/>
  <c r="L16" i="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L22" i="16"/>
  <c r="M39" i="14" s="1"/>
  <c r="M13"/>
  <c r="J15"/>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D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E5" i="48"/>
  <c r="E22" s="1"/>
  <c r="F18" i="16"/>
  <c r="G13" i="14" s="1"/>
  <c r="G15" s="1"/>
  <c r="G23" s="1"/>
  <c r="M16" i="18"/>
  <c r="M19" s="1"/>
  <c r="K10" i="14"/>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N25" l="1"/>
  <c r="N31" s="1"/>
  <c r="N14"/>
  <c r="F8"/>
  <c r="E14"/>
  <c r="R10" i="14"/>
  <c r="K41"/>
  <c r="K53" s="1"/>
  <c r="K55" s="1"/>
  <c r="K15"/>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<sst xmlns="http://schemas.openxmlformats.org/spreadsheetml/2006/main" count="1950" uniqueCount="834">
  <si>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</si>
  <si>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</si>
  <si>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</si>
  <si>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</si>
  <si>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</si>
  <si>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</si>
  <si>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</si>
  <si>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</si>
  <si>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</si>
  <si>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</si>
  <si>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</si>
  <si>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</si>
  <si>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</si>
  <si>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</si>
  <si>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</si>
  <si>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</si>
  <si>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</si>
  <si>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</si>
  <si>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</si>
  <si>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</si>
  <si>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</si>
  <si>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</si>
  <si>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</si>
  <si>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</si>
  <si>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</si>
  <si>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</si>
  <si>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</si>
  <si>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</si>
  <si>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</si>
  <si>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</si>
  <si>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</si>
  <si>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</si>
  <si>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</si>
  <si>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</si>
  <si>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</si>
  <si>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</si>
  <si>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</si>
  <si>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</si>
  <si>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</si>
  <si>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</si>
  <si>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</si>
  <si>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</si>
  <si>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</si>
  <si>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</si>
  <si>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</si>
  <si>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</si>
  <si>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</si>
  <si>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</si>
  <si>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</si>
  <si>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</si>
  <si>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</si>
  <si>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</si>
  <si>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</si>
  <si>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</si>
  <si>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</si>
  <si>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</si>
  <si>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</si>
  <si>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</si>
  <si>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</si>
  <si>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</si>
  <si>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</si>
  <si>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</si>
  <si>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</si>
  <si>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</si>
  <si>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</si>
  <si>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</si>
  <si>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</si>
  <si>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</si>
  <si>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</si>
  <si>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</si>
  <si>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</si>
  <si>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</si>
  <si>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</si>
  <si>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</si>
  <si>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</si>
  <si>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</si>
  <si>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</si>
  <si>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</si>
  <si>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</si>
  <si>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</si>
  <si>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</si>
  <si>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</si>
  <si>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</si>
  <si>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</si>
  <si>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</si>
  <si>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</si>
  <si>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</si>
  <si>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</si>
  <si>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</si>
  <si>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</si>
  <si>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</si>
  <si>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</si>
  <si>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</si>
  <si>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</si>
  <si>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</si>
  <si>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</si>
  <si>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</si>
  <si>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</si>
  <si>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</si>
  <si>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</si>
  <si>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</si>
  <si>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</si>
  <si>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</si>
  <si>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</si>
  <si>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</si>
  <si>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</si>
  <si>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</si>
  <si>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</si>
  <si>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</si>
  <si>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</si>
  <si>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</si>
  <si>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</si>
  <si>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</si>
  <si>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</si>
  <si>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</si>
  <si>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</si>
  <si>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</si>
  <si>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</si>
  <si>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</si>
  <si>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</si>
  <si>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</si>
  <si>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</si>
  <si>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</si>
  <si>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</si>
  <si>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</si>
  <si>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</si>
  <si>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</si>
  <si>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</si>
  <si>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</si>
  <si>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</si>
  <si>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</si>
  <si>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</si>
  <si>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</si>
  <si>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</si>
  <si>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</si>
  <si>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</si>
  <si>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</si>
  <si>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</si>
  <si>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</si>
  <si>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</si>
  <si>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</si>
  <si>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</si>
  <si>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</si>
  <si>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</si>
  <si>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</si>
  <si>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</si>
  <si>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</si>
  <si>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</si>
  <si>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</si>
  <si>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</si>
  <si>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</si>
  <si>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</si>
  <si>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</si>
  <si>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</si>
  <si>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</si>
  <si>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</si>
  <si>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</si>
  <si>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</si>
  <si>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</si>
  <si>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</si>
  <si>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</si>
  <si>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</si>
  <si>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</si>
  <si>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</si>
  <si>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</si>
  <si>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</si>
  <si>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</si>
  <si>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</si>
  <si>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</si>
  <si>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</si>
  <si>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</si>
  <si>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</si>
  <si>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</si>
  <si>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</si>
  <si>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</si>
  <si>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</si>
  <si>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</si>
  <si>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</si>
  <si>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</si>
  <si>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</si>
  <si>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</si>
  <si>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</si>
  <si>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</si>
  <si>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</si>
  <si>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</si>
  <si>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</si>
  <si>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</si>
  <si>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</si>
  <si>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</si>
  <si>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</si>
  <si>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</si>
  <si>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</si>
  <si>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</si>
  <si>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</si>
  <si>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</si>
  <si>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</si>
  <si>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</si>
  <si>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</si>
  <si>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</si>
  <si>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</si>
  <si>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</si>
  <si>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</si>
  <si>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</si>
  <si>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</si>
  <si>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</si>
  <si>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</si>
  <si>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</si>
  <si>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</si>
  <si>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</si>
  <si>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</si>
  <si>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</si>
  <si>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</si>
  <si>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</si>
  <si>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</si>
  <si>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</si>
  <si>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</si>
  <si>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</si>
  <si>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</si>
  <si>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</si>
  <si>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</si>
  <si>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</si>
  <si>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</si>
  <si>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</si>
  <si>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</si>
  <si>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</si>
  <si>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</si>
  <si>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</si>
  <si>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</si>
  <si>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</si>
  <si>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</si>
  <si>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</si>
  <si>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</si>
  <si>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</si>
  <si>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</si>
  <si>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</si>
  <si>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</si>
  <si>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</si>
  <si>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</si>
  <si>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</si>
  <si>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</si>
  <si>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</si>
  <si>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</si>
  <si>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</si>
  <si>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</si>
  <si>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</si>
  <si>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</si>
  <si>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</si>
  <si>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</si>
  <si>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</si>
  <si>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</si>
  <si>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</si>
  <si>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</si>
  <si>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</si>
  <si>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</si>
  <si>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</si>
  <si>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</si>
  <si>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</si>
  <si>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</si>
  <si>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</si>
  <si>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</si>
  <si>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</si>
  <si>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</si>
  <si>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</si>
  <si>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</si>
  <si>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</si>
  <si>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</si>
  <si>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</si>
  <si>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</si>
  <si>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</si>
  <si>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</si>
  <si>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</si>
  <si>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</si>
  <si>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</si>
  <si>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</si>
  <si>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</si>
  <si>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</si>
  <si>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</si>
  <si>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</si>
  <si>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</si>
  <si>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</si>
  <si>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</si>
  <si>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</si>
  <si>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</si>
  <si>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</si>
  <si>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</si>
  <si>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</si>
  <si>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</si>
  <si>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</si>
  <si>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</si>
  <si>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</si>
  <si>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</si>
  <si>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</si>
  <si>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</si>
  <si>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</si>
  <si>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</si>
  <si>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</si>
  <si>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</si>
  <si>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</si>
  <si>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</si>
  <si>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</si>
  <si>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</si>
  <si>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</si>
  <si>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</si>
  <si>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</si>
  <si>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</si>
  <si>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</si>
  <si>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</si>
  <si>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</si>
  <si>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</si>
  <si>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</si>
  <si>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</si>
  <si>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</si>
  <si>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</si>
  <si>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</si>
  <si>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</si>
  <si>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</si>
  <si>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</si>
  <si>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</si>
  <si>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</si>
  <si>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</si>
  <si>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</si>
  <si>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</si>
  <si>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</si>
  <si>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</si>
  <si>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</si>
  <si>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</si>
  <si>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</si>
  <si>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</si>
  <si>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</si>
  <si>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</si>
  <si>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</si>
  <si>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</si>
  <si>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</si>
  <si>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</si>
  <si>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</si>
  <si>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</si>
  <si>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</si>
  <si>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</si>
  <si>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</si>
  <si>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</si>
  <si>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</si>
  <si>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</si>
  <si>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</si>
  <si>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</si>
  <si>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</si>
  <si>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</si>
  <si>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</si>
  <si>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</si>
  <si>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</si>
  <si>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</si>
  <si>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</si>
  <si>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</si>
  <si>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</si>
  <si>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</si>
  <si>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</si>
  <si>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</si>
  <si>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</si>
  <si>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</si>
  <si>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</si>
  <si>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</si>
  <si>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</si>
  <si>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</si>
  <si>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</si>
  <si>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</si>
  <si>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</si>
  <si>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</si>
  <si>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</si>
  <si>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</si>
  <si>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</si>
  <si>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</si>
  <si>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</si>
  <si>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</si>
  <si>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</si>
  <si>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</si>
  <si>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</si>
  <si>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</si>
  <si>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</si>
  <si>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</si>
  <si>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</si>
  <si>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</si>
  <si>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</si>
  <si>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</si>
  <si>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</si>
  <si>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</si>
  <si>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</si>
  <si>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</si>
  <si>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</si>
  <si>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</si>
  <si>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</si>
  <si>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</si>
  <si>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</si>
  <si>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</si>
  <si>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</si>
  <si>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</si>
  <si>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</si>
  <si>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</si>
  <si>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</si>
  <si>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</si>
  <si>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</si>
  <si>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</si>
  <si>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</si>
  <si>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</si>
  <si>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</si>
  <si>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</si>
  <si>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</si>
  <si>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</si>
  <si>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</si>
  <si>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</si>
  <si>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</si>
  <si>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</si>
  <si>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</si>
  <si>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</si>
  <si>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</si>
  <si>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</si>
  <si>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</si>
  <si>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</si>
  <si>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</si>
  <si>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</si>
  <si>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</si>
  <si>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</si>
  <si>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</si>
  <si>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</si>
  <si>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</si>
  <si>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</si>
  <si>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</si>
  <si>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</si>
  <si>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</si>
  <si>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</si>
  <si>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</si>
  <si>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</si>
  <si>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</si>
  <si>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</si>
  <si>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</si>
  <si>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</si>
  <si>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</si>
  <si>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</si>
  <si>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</si>
  <si>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</si>
  <si>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</si>
  <si>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</si>
  <si>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</si>
  <si>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</si>
  <si>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</si>
  <si>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</si>
  <si>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</si>
  <si>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</si>
  <si>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</si>
  <si>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</si>
  <si>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</si>
  <si>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</si>
  <si>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</si>
  <si>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</si>
  <si>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</si>
  <si>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</si>
  <si>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</si>
  <si>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</si>
  <si>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</si>
  <si>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</si>
  <si>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</si>
  <si>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</si>
  <si>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</si>
  <si>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</si>
  <si>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</si>
  <si>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</si>
  <si>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</si>
  <si>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</si>
  <si>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</si>
  <si>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</si>
  <si>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</si>
  <si>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</si>
  <si>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</si>
  <si>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</si>
  <si>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</si>
  <si>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</si>
  <si>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</si>
  <si>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</si>
  <si>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</si>
  <si>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</si>
  <si>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</si>
  <si>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</si>
  <si>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</si>
  <si>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</si>
  <si>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</si>
  <si>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</si>
  <si>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</si>
  <si>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</si>
  <si>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</si>
  <si>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</si>
  <si>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</si>
  <si>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</si>
  <si>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</si>
  <si>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</si>
  <si>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</si>
  <si>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</si>
  <si>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</si>
  <si>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</si>
  <si>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</si>
  <si>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</si>
  <si>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</si>
  <si>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</si>
  <si>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</si>
  <si>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</si>
  <si>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</si>
  <si>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</si>
  <si>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</si>
  <si>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</si>
  <si>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</si>
  <si>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</si>
  <si>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</si>
  <si>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</si>
  <si>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</si>
  <si>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</si>
  <si>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</si>
  <si>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</si>
  <si>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</si>
  <si>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</si>
  <si>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</si>
  <si>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</si>
  <si>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</si>
  <si>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</si>
  <si>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</si>
  <si>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</si>
  <si>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</si>
  <si>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</si>
  <si>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</si>
  <si>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</si>
  <si>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</si>
  <si>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</si>
  <si>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</si>
  <si>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</si>
  <si>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</si>
  <si>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</si>
  <si>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</si>
  <si>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</si>
  <si>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</si>
  <si>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</si>
  <si>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</si>
  <si>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</si>
  <si>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</si>
  <si>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</si>
  <si>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</si>
  <si>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</si>
  <si>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</si>
  <si>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</si>
  <si>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</si>
  <si>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</si>
  <si>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</si>
  <si>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</si>
  <si>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</si>
  <si>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</si>
  <si>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</si>
  <si>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</si>
  <si>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</si>
  <si>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</si>
  <si>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</si>
  <si>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</si>
  <si>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</si>
  <si>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</si>
  <si>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</si>
  <si>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</si>
  <si>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</si>
  <si>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</si>
  <si>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</si>
  <si>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</si>
  <si>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</si>
  <si>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</si>
  <si>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</si>
  <si>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</si>
  <si>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</si>
  <si>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</si>
  <si>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</si>
  <si>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</si>
  <si>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</si>
  <si>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</si>
  <si>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</si>
  <si>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</si>
  <si>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</si>
  <si>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</si>
  <si>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</si>
  <si>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</si>
  <si>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</si>
  <si>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</si>
  <si>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</si>
  <si>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</si>
  <si>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</si>
  <si>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</si>
  <si>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</si>
  <si>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</si>
  <si>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</si>
  <si>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</si>
  <si>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</si>
  <si>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</si>
  <si>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</si>
  <si>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</si>
  <si>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</si>
  <si>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</si>
  <si>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</si>
  <si>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</si>
  <si>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</si>
  <si>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</si>
  <si>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</si>
  <si>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</si>
  <si>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</si>
  <si>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</si>
  <si>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</si>
  <si>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</si>
  <si>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</si>
  <si>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</si>
  <si>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</si>
  <si>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</si>
  <si>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</si>
  <si>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</si>
  <si>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</si>
  <si>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</si>
  <si>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</si>
  <si>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</si>
  <si>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</si>
  <si>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</si>
  <si>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</si>
  <si>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</si>
  <si>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</si>
  <si>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</si>
  <si>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</si>
  <si>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</si>
  <si>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</si>
  <si>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</si>
  <si>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</si>
  <si>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</si>
  <si>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</si>
  <si>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</si>
  <si>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</si>
  <si>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</si>
  <si>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</si>
  <si>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</si>
  <si>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</si>
  <si>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</si>
  <si>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</si>
  <si>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</si>
  <si>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</si>
  <si>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</si>
  <si>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</si>
  <si>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</si>
  <si>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</si>
  <si>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</si>
  <si>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</si>
  <si>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</si>
  <si>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</si>
  <si>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</si>
  <si>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</si>
  <si>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</si>
  <si>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</si>
  <si>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</si>
  <si>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</si>
  <si>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</si>
  <si>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</si>
  <si>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</si>
  <si>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</si>
  <si>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</si>
  <si>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</si>
  <si>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</si>
  <si>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</si>
  <si>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</si>
  <si>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</si>
  <si>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</si>
  <si>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</si>
  <si>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</si>
  <si>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</si>
  <si>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</si>
  <si>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</si>
  <si>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</si>
  <si>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</si>
  <si>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</si>
  <si>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</si>
  <si>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</si>
  <si>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</si>
  <si>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</si>
  <si>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</si>
  <si>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</si>
  <si>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</si>
  <si>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</si>
  <si>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</si>
  <si>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</si>
  <si>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</si>
  <si>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</si>
  <si>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</si>
  <si>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</si>
  <si>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</si>
  <si>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</si>
  <si>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</si>
  <si>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</si>
  <si>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</si>
  <si>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</si>
  <si>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</si>
  <si>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</si>
  <si>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</si>
  <si>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</si>
  <si>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</si>
  <si>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</si>
  <si>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</si>
  <si>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</si>
  <si>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</si>
  <si>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</si>
  <si>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</si>
  <si>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</si>
  <si>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</si>
  <si>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</si>
  <si>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</si>
  <si>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</si>
  <si>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</si>
  <si>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</si>
  <si>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</si>
  <si>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</si>
  <si>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</si>
  <si>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</si>
  <si>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</si>
  <si>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</si>
  <si>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</si>
  <si>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</si>
  <si>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</si>
  <si>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</si>
  <si>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</si>
  <si>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</si>
  <si>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</si>
  <si>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</si>
  <si>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</si>
  <si>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</si>
  <si>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</si>
  <si>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</si>
  <si>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</si>
  <si>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</si>
  <si>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</si>
  <si>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</si>
  <si>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</si>
  <si>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</si>
  <si>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</si>
  <si>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</si>
  <si>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</si>
  <si>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</si>
  <si>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</si>
  <si>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</si>
  <si>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</si>
  <si>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</si>
  <si>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</si>
  <si>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</si>
  <si>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</si>
  <si>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</si>
  <si>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</si>
  <si>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</si>
  <si>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</si>
  <si>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</si>
  <si>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</si>
  <si>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</si>
  <si>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</si>
  <si>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</si>
  <si>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</si>
  <si>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</si>
  <si>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</si>
  <si>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</si>
  <si>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</si>
  <si>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</si>
  <si>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</si>
  <si>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</si>
  <si>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</si>
  <si>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</si>
  <si>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</si>
  <si>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</si>
  <si>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</si>
  <si>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</si>
  <si>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</si>
  <si>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</si>
  <si>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</si>
  <si>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</si>
  <si>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</si>
  <si>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</si>
  <si>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</si>
  <si>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</si>
  <si>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</si>
  <si>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</si>
  <si>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</si>
  <si>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</si>
  <si>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</si>
  <si>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</si>
  <si>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</si>
  <si>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</si>
  <si>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</si>
  <si>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</si>
  <si>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</si>
  <si>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</si>
  <si>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</si>
  <si>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</si>
  <si>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</si>
  <si>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</si>
  <si>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</si>
  <si>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</si>
  <si>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</si>
  <si>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</si>
  <si>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</si>
  <si>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</si>
  <si>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</si>
  <si>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</si>
  <si>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</si>
  <si>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</si>
  <si>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</si>
  <si>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</si>
  <si>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</si>
  <si>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</si>
  <si>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</si>
  <si>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</si>
  <si>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</si>
  <si>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</si>
  <si>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</si>
  <si>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</si>
  <si>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</si>
  <si>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</si>
  <si>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</si>
  <si>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</si>
  <si>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</si>
  <si>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</si>
  <si>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</si>
  <si>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</si>
  <si>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</si>
  <si>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</si>
  <si>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</si>
  <si>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</si>
  <si>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</si>
  <si>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</si>
  <si>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44072</t>
  </si>
  <si>
    <t>WAARSCHOOT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</si>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</sst>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62534.562779790191</c:v>
                </c:pt>
                <c:pt idx="1">
                  <c:v>13113.929292964998</c:v>
                </c:pt>
                <c:pt idx="2">
                  <c:v>619.17999999999995</c:v>
                </c:pt>
                <c:pt idx="3">
                  <c:v>6187.6495423901524</c:v>
                </c:pt>
                <c:pt idx="4">
                  <c:v>59180.154087770461</c:v>
                </c:pt>
                <c:pt idx="5">
                  <c:v>43597.472623731381</c:v>
                </c:pt>
                <c:pt idx="6">
                  <c:v>699.40297097071686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71360"/>
        <c:axId val="176272896"/>
      </c:barChart>
      <c:catAx>
        <c:axId val="176271360"/>
        <c:scaling>
          <c:orientation val="minMax"/>
        </c:scaling>
        <c:axPos val="b"/>
        <c:numFmt formatCode="General" sourceLinked="0"/>
        <c:tickLblPos val="nextTo"/>
        <c:crossAx val="176272896"/>
        <c:crosses val="autoZero"/>
        <c:auto val="1"/>
        <c:lblAlgn val="ctr"/>
        <c:lblOffset val="100"/>
      </c:catAx>
      <c:valAx>
        <c:axId val="176272896"/>
        <c:scaling>
          <c:orientation val="minMax"/>
        </c:scaling>
        <c:axPos val="l"/>
        <c:majorGridlines/>
        <c:numFmt formatCode="#,##0" sourceLinked="1"/>
        <c:tickLblPos val="nextTo"/>
        <c:crossAx val="176271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62534.562779790191</c:v>
                </c:pt>
                <c:pt idx="1">
                  <c:v>13113.929292964998</c:v>
                </c:pt>
                <c:pt idx="2">
                  <c:v>619.17999999999995</c:v>
                </c:pt>
                <c:pt idx="3">
                  <c:v>6187.6495423901524</c:v>
                </c:pt>
                <c:pt idx="4">
                  <c:v>59180.154087770461</c:v>
                </c:pt>
                <c:pt idx="5">
                  <c:v>43597.472623731381</c:v>
                </c:pt>
                <c:pt idx="6">
                  <c:v>699.40297097071686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12498.41492991479</c:v>
                </c:pt>
                <c:pt idx="1">
                  <c:v>2667.804846858593</c:v>
                </c:pt>
                <c:pt idx="2">
                  <c:v>130.59180291514892</c:v>
                </c:pt>
                <c:pt idx="3">
                  <c:v>1525.8454821722844</c:v>
                </c:pt>
                <c:pt idx="4">
                  <c:v>12196.904840761204</c:v>
                </c:pt>
                <c:pt idx="5">
                  <c:v>10916.861894725316</c:v>
                </c:pt>
                <c:pt idx="6">
                  <c:v>176.6658545717417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12320"/>
        <c:axId val="176746880"/>
      </c:barChart>
      <c:catAx>
        <c:axId val="176712320"/>
        <c:scaling>
          <c:orientation val="minMax"/>
        </c:scaling>
        <c:axPos val="b"/>
        <c:numFmt formatCode="General" sourceLinked="0"/>
        <c:tickLblPos val="nextTo"/>
        <c:crossAx val="176746880"/>
        <c:crosses val="autoZero"/>
        <c:auto val="1"/>
        <c:lblAlgn val="ctr"/>
        <c:lblOffset val="100"/>
      </c:catAx>
      <c:valAx>
        <c:axId val="176746880"/>
        <c:scaling>
          <c:orientation val="minMax"/>
        </c:scaling>
        <c:axPos val="l"/>
        <c:majorGridlines/>
        <c:numFmt formatCode="#,##0" sourceLinked="1"/>
        <c:tickLblPos val="nextTo"/>
        <c:crossAx val="176712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12498.41492991479</c:v>
                </c:pt>
                <c:pt idx="1">
                  <c:v>2667.804846858593</c:v>
                </c:pt>
                <c:pt idx="2">
                  <c:v>130.59180291514892</c:v>
                </c:pt>
                <c:pt idx="3">
                  <c:v>1525.8454821722844</c:v>
                </c:pt>
                <c:pt idx="4">
                  <c:v>12196.904840761204</c:v>
                </c:pt>
                <c:pt idx="5">
                  <c:v>10916.861894725316</c:v>
                </c:pt>
                <c:pt idx="6">
                  <c:v>176.6658545717417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44072</v>
      </c>
      <c r="B6" s="416"/>
      <c r="C6" s="417"/>
    </row>
    <row r="7" spans="1:7" s="414" customFormat="1" ht="15.75" customHeight="1">
      <c r="A7" s="418" t="str">
        <f>txtMunicipality</f>
        <v>WAARSCHOOT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44072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3358</v>
      </c>
      <c r="C9" s="342">
        <v>3308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1434</v>
      </c>
    </row>
    <row r="15" spans="1:6">
      <c r="A15" s="348" t="s">
        <v>184</v>
      </c>
      <c r="B15" s="334">
        <v>25</v>
      </c>
    </row>
    <row r="16" spans="1:6">
      <c r="A16" s="348" t="s">
        <v>6</v>
      </c>
      <c r="B16" s="334">
        <v>1206</v>
      </c>
    </row>
    <row r="17" spans="1:6">
      <c r="A17" s="348" t="s">
        <v>7</v>
      </c>
      <c r="B17" s="334">
        <v>527</v>
      </c>
    </row>
    <row r="18" spans="1:6">
      <c r="A18" s="348" t="s">
        <v>8</v>
      </c>
      <c r="B18" s="334">
        <v>1161</v>
      </c>
    </row>
    <row r="19" spans="1:6">
      <c r="A19" s="348" t="s">
        <v>9</v>
      </c>
      <c r="B19" s="334">
        <v>1040</v>
      </c>
    </row>
    <row r="20" spans="1:6">
      <c r="A20" s="348" t="s">
        <v>10</v>
      </c>
      <c r="B20" s="334">
        <v>582</v>
      </c>
    </row>
    <row r="21" spans="1:6">
      <c r="A21" s="348" t="s">
        <v>11</v>
      </c>
      <c r="B21" s="334">
        <v>3340</v>
      </c>
    </row>
    <row r="22" spans="1:6">
      <c r="A22" s="348" t="s">
        <v>12</v>
      </c>
      <c r="B22" s="334">
        <v>7392</v>
      </c>
    </row>
    <row r="23" spans="1:6">
      <c r="A23" s="348" t="s">
        <v>13</v>
      </c>
      <c r="B23" s="334">
        <v>129</v>
      </c>
    </row>
    <row r="24" spans="1:6">
      <c r="A24" s="348" t="s">
        <v>14</v>
      </c>
      <c r="B24" s="334">
        <v>6</v>
      </c>
    </row>
    <row r="25" spans="1:6">
      <c r="A25" s="348" t="s">
        <v>15</v>
      </c>
      <c r="B25" s="334">
        <v>1008</v>
      </c>
    </row>
    <row r="26" spans="1:6">
      <c r="A26" s="348" t="s">
        <v>16</v>
      </c>
      <c r="B26" s="334">
        <v>197</v>
      </c>
    </row>
    <row r="27" spans="1:6">
      <c r="A27" s="348" t="s">
        <v>17</v>
      </c>
      <c r="B27" s="334">
        <v>4</v>
      </c>
    </row>
    <row r="28" spans="1:6" s="356" customFormat="1">
      <c r="A28" s="355" t="s">
        <v>18</v>
      </c>
      <c r="B28" s="355">
        <v>21285</v>
      </c>
    </row>
    <row r="29" spans="1:6">
      <c r="A29" s="355" t="s">
        <v>828</v>
      </c>
      <c r="B29" s="355">
        <v>90</v>
      </c>
      <c r="C29" s="356"/>
      <c r="D29" s="356"/>
      <c r="E29" s="356"/>
      <c r="F29" s="356"/>
    </row>
    <row r="30" spans="1:6">
      <c r="A30" s="341" t="s">
        <v>829</v>
      </c>
      <c r="B30" s="341">
        <v>33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7017.16</v>
      </c>
    </row>
    <row r="37" spans="1:6">
      <c r="A37" s="348" t="s">
        <v>25</v>
      </c>
      <c r="B37" s="348" t="s">
        <v>28</v>
      </c>
      <c r="C37" s="334">
        <v>0</v>
      </c>
      <c r="D37" s="334">
        <v>0</v>
      </c>
      <c r="E37" s="334">
        <v>0</v>
      </c>
      <c r="F37" s="334">
        <v>0</v>
      </c>
    </row>
    <row r="38" spans="1:6">
      <c r="A38" s="348" t="s">
        <v>25</v>
      </c>
      <c r="B38" s="348" t="s">
        <v>29</v>
      </c>
      <c r="C38" s="334">
        <v>0</v>
      </c>
      <c r="D38" s="334">
        <v>0</v>
      </c>
      <c r="E38" s="334">
        <v>1</v>
      </c>
      <c r="F38" s="334">
        <v>399.06939999999997</v>
      </c>
    </row>
    <row r="39" spans="1:6">
      <c r="A39" s="348" t="s">
        <v>30</v>
      </c>
      <c r="B39" s="348" t="s">
        <v>31</v>
      </c>
      <c r="C39" s="334">
        <v>1920</v>
      </c>
      <c r="D39" s="334">
        <v>28177289.6731296</v>
      </c>
      <c r="E39" s="334">
        <v>3208</v>
      </c>
      <c r="F39" s="334">
        <v>15149475</v>
      </c>
    </row>
    <row r="40" spans="1:6">
      <c r="A40" s="348" t="s">
        <v>30</v>
      </c>
      <c r="B40" s="348" t="s">
        <v>29</v>
      </c>
      <c r="C40" s="334">
        <v>0</v>
      </c>
      <c r="D40" s="334">
        <v>0</v>
      </c>
      <c r="E40" s="334">
        <v>0</v>
      </c>
      <c r="F40" s="334">
        <v>0</v>
      </c>
    </row>
    <row r="41" spans="1:6">
      <c r="A41" s="348" t="s">
        <v>32</v>
      </c>
      <c r="B41" s="348" t="s">
        <v>33</v>
      </c>
      <c r="C41" s="334">
        <v>25</v>
      </c>
      <c r="D41" s="334">
        <v>412044.07013926201</v>
      </c>
      <c r="E41" s="334">
        <v>63</v>
      </c>
      <c r="F41" s="334">
        <v>518313.3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15</v>
      </c>
      <c r="D48" s="334">
        <v>16677044.537242001</v>
      </c>
      <c r="E48" s="334">
        <v>15</v>
      </c>
      <c r="F48" s="334">
        <v>4676095</v>
      </c>
    </row>
    <row r="49" spans="1:6">
      <c r="A49" s="348" t="s">
        <v>32</v>
      </c>
      <c r="B49" s="348" t="s">
        <v>40</v>
      </c>
      <c r="C49" s="334">
        <v>0</v>
      </c>
      <c r="D49" s="334">
        <v>0</v>
      </c>
      <c r="E49" s="334">
        <v>0</v>
      </c>
      <c r="F49" s="334">
        <v>0</v>
      </c>
    </row>
    <row r="50" spans="1:6">
      <c r="A50" s="348" t="s">
        <v>32</v>
      </c>
      <c r="B50" s="348" t="s">
        <v>41</v>
      </c>
      <c r="C50" s="334">
        <v>3</v>
      </c>
      <c r="D50" s="334">
        <v>201526.507125615</v>
      </c>
      <c r="E50" s="334">
        <v>10</v>
      </c>
      <c r="F50" s="334">
        <v>10280123</v>
      </c>
    </row>
    <row r="51" spans="1:6">
      <c r="A51" s="348" t="s">
        <v>42</v>
      </c>
      <c r="B51" s="348" t="s">
        <v>43</v>
      </c>
      <c r="C51" s="334">
        <v>6</v>
      </c>
      <c r="D51" s="334">
        <v>55392.172646785097</v>
      </c>
      <c r="E51" s="334">
        <v>54</v>
      </c>
      <c r="F51" s="334">
        <v>1103084</v>
      </c>
    </row>
    <row r="52" spans="1:6">
      <c r="A52" s="348" t="s">
        <v>42</v>
      </c>
      <c r="B52" s="348" t="s">
        <v>29</v>
      </c>
      <c r="C52" s="334">
        <v>4</v>
      </c>
      <c r="D52" s="334">
        <v>69895.703851674494</v>
      </c>
      <c r="E52" s="334">
        <v>8</v>
      </c>
      <c r="F52" s="334">
        <v>295050.90000000002</v>
      </c>
    </row>
    <row r="53" spans="1:6">
      <c r="A53" s="348" t="s">
        <v>44</v>
      </c>
      <c r="B53" s="348" t="s">
        <v>45</v>
      </c>
      <c r="C53" s="334">
        <v>56</v>
      </c>
      <c r="D53" s="334">
        <v>999856.53838788299</v>
      </c>
      <c r="E53" s="334">
        <v>134</v>
      </c>
      <c r="F53" s="334">
        <v>783225.4</v>
      </c>
    </row>
    <row r="54" spans="1:6">
      <c r="A54" s="348" t="s">
        <v>46</v>
      </c>
      <c r="B54" s="348" t="s">
        <v>47</v>
      </c>
      <c r="C54" s="334">
        <v>0</v>
      </c>
      <c r="D54" s="334">
        <v>0</v>
      </c>
      <c r="E54" s="334">
        <v>1</v>
      </c>
      <c r="F54" s="334">
        <v>619180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117711.134321163</v>
      </c>
      <c r="E57" s="334">
        <v>21</v>
      </c>
      <c r="F57" s="334">
        <v>383563.8</v>
      </c>
    </row>
    <row r="58" spans="1:6">
      <c r="A58" s="348" t="s">
        <v>49</v>
      </c>
      <c r="B58" s="348" t="s">
        <v>51</v>
      </c>
      <c r="C58" s="334">
        <v>3</v>
      </c>
      <c r="D58" s="334">
        <v>396229.97427250398</v>
      </c>
      <c r="E58" s="334">
        <v>10</v>
      </c>
      <c r="F58" s="334">
        <v>225890</v>
      </c>
    </row>
    <row r="59" spans="1:6">
      <c r="A59" s="348" t="s">
        <v>49</v>
      </c>
      <c r="B59" s="348" t="s">
        <v>52</v>
      </c>
      <c r="C59" s="334">
        <v>7</v>
      </c>
      <c r="D59" s="334">
        <v>369165.46203060797</v>
      </c>
      <c r="E59" s="334">
        <v>57</v>
      </c>
      <c r="F59" s="334">
        <v>1873537</v>
      </c>
    </row>
    <row r="60" spans="1:6">
      <c r="A60" s="348" t="s">
        <v>49</v>
      </c>
      <c r="B60" s="348" t="s">
        <v>53</v>
      </c>
      <c r="C60" s="334">
        <v>22</v>
      </c>
      <c r="D60" s="334">
        <v>933278.10451867001</v>
      </c>
      <c r="E60" s="334">
        <v>27</v>
      </c>
      <c r="F60" s="334">
        <v>584914.5</v>
      </c>
    </row>
    <row r="61" spans="1:6">
      <c r="A61" s="348" t="s">
        <v>49</v>
      </c>
      <c r="B61" s="348" t="s">
        <v>54</v>
      </c>
      <c r="C61" s="334">
        <v>43</v>
      </c>
      <c r="D61" s="334">
        <v>1169033.61477325</v>
      </c>
      <c r="E61" s="334">
        <v>103</v>
      </c>
      <c r="F61" s="334">
        <v>941002.8</v>
      </c>
    </row>
    <row r="62" spans="1:6">
      <c r="A62" s="348" t="s">
        <v>49</v>
      </c>
      <c r="B62" s="348" t="s">
        <v>55</v>
      </c>
      <c r="C62" s="334">
        <v>0</v>
      </c>
      <c r="D62" s="334">
        <v>0</v>
      </c>
      <c r="E62" s="334">
        <v>6</v>
      </c>
      <c r="F62" s="334">
        <v>52493.03</v>
      </c>
    </row>
    <row r="63" spans="1:6">
      <c r="A63" s="348" t="s">
        <v>49</v>
      </c>
      <c r="B63" s="348" t="s">
        <v>29</v>
      </c>
      <c r="C63" s="334">
        <v>82</v>
      </c>
      <c r="D63" s="334">
        <v>3351592.5512337899</v>
      </c>
      <c r="E63" s="334">
        <v>87</v>
      </c>
      <c r="F63" s="334">
        <v>1921548</v>
      </c>
    </row>
    <row r="64" spans="1:6">
      <c r="A64" s="348" t="s">
        <v>56</v>
      </c>
      <c r="B64" s="348" t="s">
        <v>57</v>
      </c>
      <c r="C64" s="334">
        <v>0</v>
      </c>
      <c r="D64" s="334">
        <v>0</v>
      </c>
      <c r="E64" s="334">
        <v>0</v>
      </c>
      <c r="F64" s="334">
        <v>0</v>
      </c>
    </row>
    <row r="65" spans="1:6">
      <c r="A65" s="348" t="s">
        <v>56</v>
      </c>
      <c r="B65" s="348" t="s">
        <v>29</v>
      </c>
      <c r="C65" s="334">
        <v>2</v>
      </c>
      <c r="D65" s="334">
        <v>25344.8481861049</v>
      </c>
      <c r="E65" s="334">
        <v>2</v>
      </c>
      <c r="F65" s="334">
        <v>1552.375</v>
      </c>
    </row>
    <row r="66" spans="1:6">
      <c r="A66" s="348" t="s">
        <v>56</v>
      </c>
      <c r="B66" s="348" t="s">
        <v>58</v>
      </c>
      <c r="C66" s="334">
        <v>0</v>
      </c>
      <c r="D66" s="334">
        <v>0</v>
      </c>
      <c r="E66" s="334">
        <v>4</v>
      </c>
      <c r="F66" s="334">
        <v>162352.1</v>
      </c>
    </row>
    <row r="67" spans="1:6">
      <c r="A67" s="355" t="s">
        <v>56</v>
      </c>
      <c r="B67" s="355" t="s">
        <v>59</v>
      </c>
      <c r="C67" s="334">
        <v>0</v>
      </c>
      <c r="D67" s="334">
        <v>0</v>
      </c>
      <c r="E67" s="334">
        <v>0</v>
      </c>
      <c r="F67" s="334">
        <v>0</v>
      </c>
    </row>
    <row r="68" spans="1:6">
      <c r="A68" s="341" t="s">
        <v>56</v>
      </c>
      <c r="B68" s="341" t="s">
        <v>60</v>
      </c>
      <c r="C68" s="334">
        <v>0</v>
      </c>
      <c r="D68" s="334">
        <v>0</v>
      </c>
      <c r="E68" s="334">
        <v>5</v>
      </c>
      <c r="F68" s="334">
        <v>36265.69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26928614</v>
      </c>
      <c r="E73" s="477">
        <v>29327046.869368352</v>
      </c>
    </row>
    <row r="74" spans="1:6">
      <c r="A74" s="348" t="s">
        <v>64</v>
      </c>
      <c r="B74" s="348" t="s">
        <v>714</v>
      </c>
      <c r="C74" s="1229" t="s">
        <v>716</v>
      </c>
      <c r="D74" s="477">
        <v>2787246.414113577</v>
      </c>
      <c r="E74" s="477">
        <v>2927980.7149217012</v>
      </c>
    </row>
    <row r="75" spans="1:6">
      <c r="A75" s="348" t="s">
        <v>65</v>
      </c>
      <c r="B75" s="348" t="s">
        <v>713</v>
      </c>
      <c r="C75" s="1229" t="s">
        <v>717</v>
      </c>
      <c r="D75" s="477">
        <v>20070659</v>
      </c>
      <c r="E75" s="477">
        <v>21849707.704715706</v>
      </c>
    </row>
    <row r="76" spans="1:6">
      <c r="A76" s="348" t="s">
        <v>65</v>
      </c>
      <c r="B76" s="348" t="s">
        <v>714</v>
      </c>
      <c r="C76" s="1229" t="s">
        <v>718</v>
      </c>
      <c r="D76" s="477">
        <v>589970.41411357711</v>
      </c>
      <c r="E76" s="477">
        <v>623144.47148577322</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186897.17177284576</v>
      </c>
      <c r="C83" s="477">
        <v>189628.81752930619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1463.0156903159477</v>
      </c>
    </row>
    <row r="92" spans="1:6">
      <c r="A92" s="341" t="s">
        <v>69</v>
      </c>
      <c r="B92" s="342">
        <v>367.34699298197751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1105</v>
      </c>
    </row>
    <row r="98" spans="1:6">
      <c r="A98" s="348" t="s">
        <v>72</v>
      </c>
      <c r="B98" s="334">
        <v>1</v>
      </c>
    </row>
    <row r="99" spans="1:6">
      <c r="A99" s="348" t="s">
        <v>73</v>
      </c>
      <c r="B99" s="334">
        <v>56</v>
      </c>
    </row>
    <row r="100" spans="1:6">
      <c r="A100" s="348" t="s">
        <v>74</v>
      </c>
      <c r="B100" s="334">
        <v>471</v>
      </c>
    </row>
    <row r="101" spans="1:6">
      <c r="A101" s="348" t="s">
        <v>75</v>
      </c>
      <c r="B101" s="334">
        <v>68</v>
      </c>
    </row>
    <row r="102" spans="1:6">
      <c r="A102" s="348" t="s">
        <v>76</v>
      </c>
      <c r="B102" s="334">
        <v>67</v>
      </c>
    </row>
    <row r="103" spans="1:6">
      <c r="A103" s="348" t="s">
        <v>77</v>
      </c>
      <c r="B103" s="334">
        <v>125</v>
      </c>
    </row>
    <row r="104" spans="1:6">
      <c r="A104" s="348" t="s">
        <v>78</v>
      </c>
      <c r="B104" s="334">
        <v>1194</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55</v>
      </c>
    </row>
    <row r="130" spans="1:6">
      <c r="A130" s="348" t="s">
        <v>295</v>
      </c>
      <c r="B130" s="334">
        <v>2</v>
      </c>
    </row>
    <row r="131" spans="1:6">
      <c r="A131" s="348" t="s">
        <v>296</v>
      </c>
      <c r="B131" s="334">
        <v>0</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40093.727436169516</v>
      </c>
      <c r="C3" s="43" t="s">
        <v>170</v>
      </c>
      <c r="D3" s="43"/>
      <c r="E3" s="154"/>
      <c r="F3" s="43"/>
      <c r="G3" s="43"/>
      <c r="H3" s="43"/>
      <c r="I3" s="43"/>
      <c r="J3" s="43"/>
      <c r="K3" s="96"/>
    </row>
    <row r="4" spans="1:11">
      <c r="A4" s="384" t="s">
        <v>171</v>
      </c>
      <c r="B4" s="49">
        <f>IF(ISERROR('SEAP template'!B69),0,'SEAP template'!B69)</f>
        <v>1830.3626832979253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0.2109108868425158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619.17999999999995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619.17999999999995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0.2109108868425158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130.59180291514892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15149.475</v>
      </c>
      <c r="C5" s="17">
        <f>IF(ISERROR('Eigen informatie GS &amp; warmtenet'!B57),0,'Eigen informatie GS &amp; warmtenet'!B57)</f>
        <v>0</v>
      </c>
      <c r="D5" s="30">
        <f>(SUM(HH_hh_gas_kWh,HH_rest_gas_kWh)/1000)*0.902</f>
        <v>25415.915285162897</v>
      </c>
      <c r="E5" s="17">
        <f>B46*B57</f>
        <v>1287.7265256117671</v>
      </c>
      <c r="F5" s="17">
        <f>B51*B62</f>
        <v>11335.891780068931</v>
      </c>
      <c r="G5" s="18"/>
      <c r="H5" s="17"/>
      <c r="I5" s="17"/>
      <c r="J5" s="17">
        <f>B50*B61+C50*C61</f>
        <v>1530.0787332260927</v>
      </c>
      <c r="K5" s="17"/>
      <c r="L5" s="17"/>
      <c r="M5" s="17"/>
      <c r="N5" s="17">
        <f>B48*B59+C48*C59</f>
        <v>5929.8364320712208</v>
      </c>
      <c r="O5" s="17">
        <f>B69*B70*B71</f>
        <v>98.490000000000009</v>
      </c>
      <c r="P5" s="17">
        <f>B77*B78*B79/1000-B77*B78*B79/1000/B80</f>
        <v>324.13333333333333</v>
      </c>
    </row>
    <row r="6" spans="1:16">
      <c r="A6" s="16" t="s">
        <v>631</v>
      </c>
      <c r="B6" s="844">
        <f>kWh_PV_kleiner_dan_10kW</f>
        <v>1463.0156903159477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16612.49069031595</v>
      </c>
      <c r="C8" s="21">
        <f>C5</f>
        <v>0</v>
      </c>
      <c r="D8" s="21">
        <f>D5</f>
        <v>25415.915285162897</v>
      </c>
      <c r="E8" s="21">
        <f>E5</f>
        <v>1287.7265256117671</v>
      </c>
      <c r="F8" s="21">
        <f>F5</f>
        <v>11335.891780068931</v>
      </c>
      <c r="G8" s="21"/>
      <c r="H8" s="21"/>
      <c r="I8" s="21"/>
      <c r="J8" s="21">
        <f>J5</f>
        <v>1530.0787332260927</v>
      </c>
      <c r="K8" s="21"/>
      <c r="L8" s="21">
        <f>L5</f>
        <v>0</v>
      </c>
      <c r="M8" s="21">
        <f>M5</f>
        <v>0</v>
      </c>
      <c r="N8" s="21">
        <f>N5</f>
        <v>5929.8364320712208</v>
      </c>
      <c r="O8" s="21">
        <f>O5</f>
        <v>98.490000000000009</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0.2109108868425158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3503.7551441575747</v>
      </c>
      <c r="C12" s="23">
        <f ca="1">C10*C8</f>
        <v>0</v>
      </c>
      <c r="D12" s="23">
        <f>D8*D10</f>
        <v>5134.0148876029052</v>
      </c>
      <c r="E12" s="23">
        <f>E10*E8</f>
        <v>292.31392131387116</v>
      </c>
      <c r="F12" s="23">
        <f>F10*F8</f>
        <v>3026.6831052784046</v>
      </c>
      <c r="G12" s="23"/>
      <c r="H12" s="23"/>
      <c r="I12" s="23"/>
      <c r="J12" s="23">
        <f>J10*J8</f>
        <v>541.64787156203681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1105</v>
      </c>
      <c r="C18" s="166" t="s">
        <v>111</v>
      </c>
      <c r="D18" s="228"/>
      <c r="E18" s="15"/>
    </row>
    <row r="19" spans="1:7">
      <c r="A19" s="171" t="s">
        <v>72</v>
      </c>
      <c r="B19" s="37">
        <f>aantalw2001_ander</f>
        <v>1</v>
      </c>
      <c r="C19" s="166" t="s">
        <v>111</v>
      </c>
      <c r="D19" s="229"/>
      <c r="E19" s="15"/>
    </row>
    <row r="20" spans="1:7">
      <c r="A20" s="171" t="s">
        <v>73</v>
      </c>
      <c r="B20" s="37">
        <f>aantalw2001_propaan</f>
        <v>56</v>
      </c>
      <c r="C20" s="167">
        <f>IF(ISERROR(B20/SUM($B$20,$B$21,$B$22)*100),0,B20/SUM($B$20,$B$21,$B$22)*100)</f>
        <v>9.4117647058823533</v>
      </c>
      <c r="D20" s="229"/>
      <c r="E20" s="15"/>
    </row>
    <row r="21" spans="1:7">
      <c r="A21" s="171" t="s">
        <v>74</v>
      </c>
      <c r="B21" s="37">
        <f>aantalw2001_elektriciteit</f>
        <v>471</v>
      </c>
      <c r="C21" s="167">
        <f>IF(ISERROR(B21/SUM($B$20,$B$21,$B$22)*100),0,B21/SUM($B$20,$B$21,$B$22)*100)</f>
        <v>79.159663865546221</v>
      </c>
      <c r="D21" s="229"/>
      <c r="E21" s="15"/>
    </row>
    <row r="22" spans="1:7">
      <c r="A22" s="171" t="s">
        <v>75</v>
      </c>
      <c r="B22" s="37">
        <f>aantalw2001_hout</f>
        <v>68</v>
      </c>
      <c r="C22" s="167">
        <f>IF(ISERROR(B22/SUM($B$20,$B$21,$B$22)*100),0,B22/SUM($B$20,$B$21,$B$22)*100)</f>
        <v>11.428571428571429</v>
      </c>
      <c r="D22" s="229"/>
      <c r="E22" s="15"/>
    </row>
    <row r="23" spans="1:7">
      <c r="A23" s="171" t="s">
        <v>76</v>
      </c>
      <c r="B23" s="37">
        <f>aantalw2001_niet_gespec</f>
        <v>67</v>
      </c>
      <c r="C23" s="166" t="s">
        <v>111</v>
      </c>
      <c r="D23" s="228"/>
      <c r="E23" s="15"/>
    </row>
    <row r="24" spans="1:7">
      <c r="A24" s="171" t="s">
        <v>77</v>
      </c>
      <c r="B24" s="37">
        <f>aantalw2001_steenkool</f>
        <v>125</v>
      </c>
      <c r="C24" s="166" t="s">
        <v>111</v>
      </c>
      <c r="D24" s="229"/>
      <c r="E24" s="15"/>
    </row>
    <row r="25" spans="1:7">
      <c r="A25" s="171" t="s">
        <v>78</v>
      </c>
      <c r="B25" s="37">
        <f>aantalw2001_stookolie</f>
        <v>1194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3358</v>
      </c>
      <c r="C28" s="36"/>
      <c r="D28" s="228"/>
    </row>
    <row r="29" spans="1:7" s="15" customFormat="1">
      <c r="A29" s="230" t="s">
        <v>741</v>
      </c>
      <c r="B29" s="37">
        <f>SUM(HH_hh_gas_aantal,HH_rest_gas_aantal)</f>
        <v>1920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1920</v>
      </c>
      <c r="C32" s="167">
        <f>IF(ISERROR(B32/SUM($B$32,$B$34,$B$35,$B$36,$B$38,$B$39)*100),0,B32/SUM($B$32,$B$34,$B$35,$B$36,$B$38,$B$39)*100)</f>
        <v>57.46782400478898</v>
      </c>
      <c r="D32" s="233"/>
      <c r="G32" s="15"/>
    </row>
    <row r="33" spans="1:7">
      <c r="A33" s="171" t="s">
        <v>72</v>
      </c>
      <c r="B33" s="34" t="s">
        <v>111</v>
      </c>
      <c r="C33" s="167"/>
      <c r="D33" s="233"/>
      <c r="G33" s="15"/>
    </row>
    <row r="34" spans="1:7">
      <c r="A34" s="171" t="s">
        <v>73</v>
      </c>
      <c r="B34" s="33">
        <f>IF((($B$28-$B$32-$B$39-$B$77-$B$38)*C20/100)&lt;0,0,($B$28-$B$32-$B$39-$B$77-$B$38)*C20/100)</f>
        <v>86.305882352941168</v>
      </c>
      <c r="C34" s="167">
        <f>IF(ISERROR(B34/SUM($B$32,$B$34,$B$35,$B$36,$B$38,$B$39)*100),0,B34/SUM($B$32,$B$34,$B$35,$B$36,$B$38,$B$39)*100)</f>
        <v>2.5832350300191909</v>
      </c>
      <c r="D34" s="233"/>
      <c r="G34" s="15"/>
    </row>
    <row r="35" spans="1:7">
      <c r="A35" s="171" t="s">
        <v>74</v>
      </c>
      <c r="B35" s="33">
        <f>IF((($B$28-$B$32-$B$39-$B$77-$B$38)*C21/100)&lt;0,0,($B$28-$B$32-$B$39-$B$77-$B$38)*C21/100)</f>
        <v>725.89411764705892</v>
      </c>
      <c r="C35" s="167">
        <f>IF(ISERROR(B35/SUM($B$32,$B$34,$B$35,$B$36,$B$38,$B$39)*100),0,B35/SUM($B$32,$B$34,$B$35,$B$36,$B$38,$B$39)*100)</f>
        <v>21.726851770339987</v>
      </c>
      <c r="D35" s="233"/>
      <c r="G35" s="15"/>
    </row>
    <row r="36" spans="1:7">
      <c r="A36" s="171" t="s">
        <v>75</v>
      </c>
      <c r="B36" s="33">
        <f>IF((($B$28-$B$32-$B$39-$B$77-$B$38)*C22/100)&lt;0,0,($B$28-$B$32-$B$39-$B$77-$B$38)*C22/100)</f>
        <v>104.8</v>
      </c>
      <c r="C36" s="167">
        <f>IF(ISERROR(B36/SUM($B$32,$B$34,$B$35,$B$36,$B$38,$B$39)*100),0,B36/SUM($B$32,$B$34,$B$35,$B$36,$B$38,$B$39)*100)</f>
        <v>3.1367853935947321</v>
      </c>
      <c r="D36" s="233"/>
      <c r="G36" s="15"/>
    </row>
    <row r="37" spans="1:7">
      <c r="A37" s="171" t="s">
        <v>76</v>
      </c>
      <c r="B37" s="34" t="s">
        <v>111</v>
      </c>
      <c r="C37" s="167"/>
      <c r="D37" s="173"/>
      <c r="G37" s="15"/>
    </row>
    <row r="38" spans="1:7">
      <c r="A38" s="171" t="s">
        <v>77</v>
      </c>
      <c r="B38" s="33">
        <f>IF((B24-(B29-B18)*0.1)&lt;0,0,B24-(B29-B18)*0.1)</f>
        <v>43.5</v>
      </c>
      <c r="C38" s="167">
        <f>IF(ISERROR(B38/SUM($B$32,$B$34,$B$35,$B$36,$B$38,$B$39)*100),0,B38/SUM($B$32,$B$34,$B$35,$B$36,$B$38,$B$39)*100)</f>
        <v>1.3020053876085005</v>
      </c>
      <c r="D38" s="234"/>
      <c r="G38" s="15"/>
    </row>
    <row r="39" spans="1:7">
      <c r="A39" s="171" t="s">
        <v>78</v>
      </c>
      <c r="B39" s="33">
        <f>IF((B25-(B29-B18))&lt;0,0,B25-(B29-B18)*0.9)</f>
        <v>460.5</v>
      </c>
      <c r="C39" s="167">
        <f>IF(ISERROR(B39/SUM($B$32,$B$34,$B$35,$B$36,$B$38,$B$39)*100),0,B39/SUM($B$32,$B$34,$B$35,$B$36,$B$38,$B$39)*100)</f>
        <v>13.783298413648609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1920</v>
      </c>
      <c r="C44" s="34" t="s">
        <v>111</v>
      </c>
      <c r="D44" s="174"/>
    </row>
    <row r="45" spans="1:7">
      <c r="A45" s="171" t="s">
        <v>72</v>
      </c>
      <c r="B45" s="33" t="str">
        <f t="shared" si="0"/>
        <v>-</v>
      </c>
      <c r="C45" s="34" t="s">
        <v>111</v>
      </c>
      <c r="D45" s="174"/>
    </row>
    <row r="46" spans="1:7">
      <c r="A46" s="171" t="s">
        <v>73</v>
      </c>
      <c r="B46" s="33">
        <f t="shared" si="0"/>
        <v>86.305882352941168</v>
      </c>
      <c r="C46" s="34" t="s">
        <v>111</v>
      </c>
      <c r="D46" s="174"/>
    </row>
    <row r="47" spans="1:7">
      <c r="A47" s="171" t="s">
        <v>74</v>
      </c>
      <c r="B47" s="33">
        <f t="shared" si="0"/>
        <v>725.89411764705892</v>
      </c>
      <c r="C47" s="34" t="s">
        <v>111</v>
      </c>
      <c r="D47" s="174"/>
    </row>
    <row r="48" spans="1:7">
      <c r="A48" s="171" t="s">
        <v>75</v>
      </c>
      <c r="B48" s="33">
        <f t="shared" si="0"/>
        <v>104.8</v>
      </c>
      <c r="C48" s="33">
        <f>B48*10</f>
        <v>1048</v>
      </c>
      <c r="D48" s="234"/>
    </row>
    <row r="49" spans="1:6">
      <c r="A49" s="171" t="s">
        <v>76</v>
      </c>
      <c r="B49" s="33" t="str">
        <f t="shared" si="0"/>
        <v>-</v>
      </c>
      <c r="C49" s="34" t="s">
        <v>111</v>
      </c>
      <c r="D49" s="234"/>
    </row>
    <row r="50" spans="1:6">
      <c r="A50" s="171" t="s">
        <v>77</v>
      </c>
      <c r="B50" s="33">
        <f t="shared" si="0"/>
        <v>43.5</v>
      </c>
      <c r="C50" s="33">
        <f>B50*2</f>
        <v>87</v>
      </c>
      <c r="D50" s="234"/>
    </row>
    <row r="51" spans="1:6">
      <c r="A51" s="171" t="s">
        <v>78</v>
      </c>
      <c r="B51" s="33">
        <f t="shared" si="0"/>
        <v>460.5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5982.94913</v>
      </c>
      <c r="C5" s="17">
        <f>IF(ISERROR('Eigen informatie GS &amp; warmtenet'!B58),0,'Eigen informatie GS &amp; warmtenet'!B58)</f>
        <v>0</v>
      </c>
      <c r="D5" s="30">
        <f>SUM(D6:D12)</f>
        <v>5715.9837787172864</v>
      </c>
      <c r="E5" s="17">
        <f>SUM(E6:E12)</f>
        <v>66.306253857979954</v>
      </c>
      <c r="F5" s="17">
        <f>SUM(F6:F12)</f>
        <v>884.85204865161404</v>
      </c>
      <c r="G5" s="18"/>
      <c r="H5" s="17"/>
      <c r="I5" s="17"/>
      <c r="J5" s="17">
        <f>SUM(J6:J12)</f>
        <v>0</v>
      </c>
      <c r="K5" s="17"/>
      <c r="L5" s="17"/>
      <c r="M5" s="17"/>
      <c r="N5" s="17">
        <f>SUM(N6:N12)</f>
        <v>460.71141507145211</v>
      </c>
      <c r="O5" s="17">
        <f>B38*B39*B40</f>
        <v>3.1266666666666669</v>
      </c>
      <c r="P5" s="17">
        <f>B46*B47*B48/1000-B46*B47*B48/1000/B49</f>
        <v>0</v>
      </c>
      <c r="R5" s="32"/>
    </row>
    <row r="6" spans="1:18">
      <c r="A6" s="32" t="s">
        <v>54</v>
      </c>
      <c r="B6" s="37">
        <f>B26</f>
        <v>941.00280000000009</v>
      </c>
      <c r="C6" s="33"/>
      <c r="D6" s="37">
        <f>IF(ISERROR(TER_kantoor_gas_kWh/1000),0,TER_kantoor_gas_kWh/1000)*0.902</f>
        <v>1054.4683205254717</v>
      </c>
      <c r="E6" s="33">
        <f>$C$26*'E Balans VL '!I12/100/3.6*1000000</f>
        <v>2.7262231762873106</v>
      </c>
      <c r="F6" s="33">
        <f>$C$26*('E Balans VL '!L12+'E Balans VL '!N12)/100/3.6*1000000</f>
        <v>106.50078506092325</v>
      </c>
      <c r="G6" s="34"/>
      <c r="H6" s="33"/>
      <c r="I6" s="33"/>
      <c r="J6" s="33">
        <f>$C$26*('E Balans VL '!D12+'E Balans VL '!E12)/100/3.6*1000000</f>
        <v>0</v>
      </c>
      <c r="K6" s="33"/>
      <c r="L6" s="33"/>
      <c r="M6" s="33"/>
      <c r="N6" s="33">
        <f>$C$26*'E Balans VL '!Y12/100/3.6*1000000</f>
        <v>9.4187446661792098</v>
      </c>
      <c r="O6" s="33"/>
      <c r="P6" s="33"/>
      <c r="R6" s="32"/>
    </row>
    <row r="7" spans="1:18">
      <c r="A7" s="32" t="s">
        <v>53</v>
      </c>
      <c r="B7" s="37">
        <f t="shared" ref="B7:B12" si="0">B27</f>
        <v>584.91449999999998</v>
      </c>
      <c r="C7" s="33"/>
      <c r="D7" s="37">
        <f>IF(ISERROR(TER_horeca_gas_kWh/1000),0,TER_horeca_gas_kWh/1000)*0.902</f>
        <v>841.81685027584035</v>
      </c>
      <c r="E7" s="33">
        <f>$C$27*'E Balans VL '!I9/100/3.6*1000000</f>
        <v>24.553076491185426</v>
      </c>
      <c r="F7" s="33">
        <f>$C$27*('E Balans VL '!L9+'E Balans VL '!N9)/100/3.6*1000000</f>
        <v>125.68087512652826</v>
      </c>
      <c r="G7" s="34"/>
      <c r="H7" s="33"/>
      <c r="I7" s="33"/>
      <c r="J7" s="33">
        <f>$C$27*('E Balans VL '!D9+'E Balans VL '!E9)/100/3.6*1000000</f>
        <v>0</v>
      </c>
      <c r="K7" s="33"/>
      <c r="L7" s="33"/>
      <c r="M7" s="33"/>
      <c r="N7" s="33">
        <f>$C$27*'E Balans VL '!Y9/100/3.6*1000000</f>
        <v>0.15072735138712953</v>
      </c>
      <c r="O7" s="33"/>
      <c r="P7" s="33"/>
      <c r="R7" s="32"/>
    </row>
    <row r="8" spans="1:18">
      <c r="A8" s="6" t="s">
        <v>52</v>
      </c>
      <c r="B8" s="37">
        <f t="shared" si="0"/>
        <v>1873.537</v>
      </c>
      <c r="C8" s="33"/>
      <c r="D8" s="37">
        <f>IF(ISERROR(TER_handel_gas_kWh/1000),0,TER_handel_gas_kWh/1000)*0.902</f>
        <v>332.98724675160838</v>
      </c>
      <c r="E8" s="33">
        <f>$C$28*'E Balans VL '!I13/100/3.6*1000000</f>
        <v>20.1233466805195</v>
      </c>
      <c r="F8" s="33">
        <f>$C$28*('E Balans VL '!L13+'E Balans VL '!N13)/100/3.6*1000000</f>
        <v>242.54483599960733</v>
      </c>
      <c r="G8" s="34"/>
      <c r="H8" s="33"/>
      <c r="I8" s="33"/>
      <c r="J8" s="33">
        <f>$C$28*('E Balans VL '!D13+'E Balans VL '!E13)/100/3.6*1000000</f>
        <v>0</v>
      </c>
      <c r="K8" s="33"/>
      <c r="L8" s="33"/>
      <c r="M8" s="33"/>
      <c r="N8" s="33">
        <f>$C$28*'E Balans VL '!Y13/100/3.6*1000000</f>
        <v>15.198234443568136</v>
      </c>
      <c r="O8" s="33"/>
      <c r="P8" s="33"/>
      <c r="R8" s="32"/>
    </row>
    <row r="9" spans="1:18">
      <c r="A9" s="32" t="s">
        <v>51</v>
      </c>
      <c r="B9" s="37">
        <f t="shared" si="0"/>
        <v>225.89</v>
      </c>
      <c r="C9" s="33"/>
      <c r="D9" s="37">
        <f>IF(ISERROR(TER_gezond_gas_kWh/1000),0,TER_gezond_gas_kWh/1000)*0.902</f>
        <v>357.3994367937986</v>
      </c>
      <c r="E9" s="33">
        <f>$C$29*'E Balans VL '!I10/100/3.6*1000000</f>
        <v>0.17982305017378186</v>
      </c>
      <c r="F9" s="33">
        <f>$C$29*('E Balans VL '!L10+'E Balans VL '!N10)/100/3.6*1000000</f>
        <v>27.460193904526236</v>
      </c>
      <c r="G9" s="34"/>
      <c r="H9" s="33"/>
      <c r="I9" s="33"/>
      <c r="J9" s="33">
        <f>$C$29*('E Balans VL '!D10+'E Balans VL '!E10)/100/3.6*1000000</f>
        <v>0</v>
      </c>
      <c r="K9" s="33"/>
      <c r="L9" s="33"/>
      <c r="M9" s="33"/>
      <c r="N9" s="33">
        <f>$C$29*'E Balans VL '!Y10/100/3.6*1000000</f>
        <v>1.8246795743765789</v>
      </c>
      <c r="O9" s="33"/>
      <c r="P9" s="33"/>
      <c r="R9" s="32"/>
    </row>
    <row r="10" spans="1:18">
      <c r="A10" s="32" t="s">
        <v>50</v>
      </c>
      <c r="B10" s="37">
        <f t="shared" si="0"/>
        <v>383.56380000000001</v>
      </c>
      <c r="C10" s="33"/>
      <c r="D10" s="37">
        <f>IF(ISERROR(TER_ander_gas_kWh/1000),0,TER_ander_gas_kWh/1000)*0.902</f>
        <v>106.17544315768903</v>
      </c>
      <c r="E10" s="33">
        <f>$C$30*'E Balans VL '!I14/100/3.6*1000000</f>
        <v>1.3144932924591228</v>
      </c>
      <c r="F10" s="33">
        <f>$C$30*('E Balans VL '!L14+'E Balans VL '!N14)/100/3.6*1000000</f>
        <v>85.672566723167449</v>
      </c>
      <c r="G10" s="34"/>
      <c r="H10" s="33"/>
      <c r="I10" s="33"/>
      <c r="J10" s="33">
        <f>$C$30*('E Balans VL '!D14+'E Balans VL '!E14)/100/3.6*1000000</f>
        <v>0</v>
      </c>
      <c r="K10" s="33"/>
      <c r="L10" s="33"/>
      <c r="M10" s="33"/>
      <c r="N10" s="33">
        <f>$C$30*'E Balans VL '!Y14/100/3.6*1000000</f>
        <v>270.18443608808059</v>
      </c>
      <c r="O10" s="33"/>
      <c r="P10" s="33"/>
      <c r="R10" s="32"/>
    </row>
    <row r="11" spans="1:18">
      <c r="A11" s="32" t="s">
        <v>55</v>
      </c>
      <c r="B11" s="37">
        <f t="shared" si="0"/>
        <v>52.493029999999997</v>
      </c>
      <c r="C11" s="33"/>
      <c r="D11" s="37">
        <f>IF(ISERROR(TER_onderwijs_gas_kWh/1000),0,TER_onderwijs_gas_kWh/1000)*0.902</f>
        <v>0</v>
      </c>
      <c r="E11" s="33">
        <f>$C$31*'E Balans VL '!I11/100/3.6*1000000</f>
        <v>3.6286814980909E-2</v>
      </c>
      <c r="F11" s="33">
        <f>$C$31*('E Balans VL '!L11+'E Balans VL '!N11)/100/3.6*1000000</f>
        <v>13.741150434939957</v>
      </c>
      <c r="G11" s="34"/>
      <c r="H11" s="33"/>
      <c r="I11" s="33"/>
      <c r="J11" s="33">
        <f>$C$31*('E Balans VL '!D11+'E Balans VL '!E11)/100/3.6*1000000</f>
        <v>0</v>
      </c>
      <c r="K11" s="33"/>
      <c r="L11" s="33"/>
      <c r="M11" s="33"/>
      <c r="N11" s="33">
        <f>$C$31*'E Balans VL '!Y11/100/3.6*1000000</f>
        <v>5.2252340357480116E-2</v>
      </c>
      <c r="O11" s="33"/>
      <c r="P11" s="33"/>
      <c r="R11" s="32"/>
    </row>
    <row r="12" spans="1:18">
      <c r="A12" s="32" t="s">
        <v>260</v>
      </c>
      <c r="B12" s="37">
        <f t="shared" si="0"/>
        <v>1921.548</v>
      </c>
      <c r="C12" s="33"/>
      <c r="D12" s="37">
        <f>IF(ISERROR(TER_rest_gas_kWh/1000),0,TER_rest_gas_kWh/1000)*0.902</f>
        <v>3023.1364812128786</v>
      </c>
      <c r="E12" s="33">
        <f>$C$32*'E Balans VL '!I8/100/3.6*1000000</f>
        <v>17.373004352373908</v>
      </c>
      <c r="F12" s="33">
        <f>$C$32*('E Balans VL '!L8+'E Balans VL '!N8)/100/3.6*1000000</f>
        <v>283.2516414019214</v>
      </c>
      <c r="G12" s="34"/>
      <c r="H12" s="33"/>
      <c r="I12" s="33"/>
      <c r="J12" s="33">
        <f>$C$32*('E Balans VL '!D8+'E Balans VL '!E8)/100/3.6*1000000</f>
        <v>0</v>
      </c>
      <c r="K12" s="33"/>
      <c r="L12" s="33"/>
      <c r="M12" s="33"/>
      <c r="N12" s="33">
        <f>$C$32*'E Balans VL '!Y8/100/3.6*1000000</f>
        <v>163.88234060750301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5982.94913</v>
      </c>
      <c r="C16" s="21">
        <f t="shared" ca="1" si="1"/>
        <v>0</v>
      </c>
      <c r="D16" s="21">
        <f t="shared" ca="1" si="1"/>
        <v>5715.9837787172864</v>
      </c>
      <c r="E16" s="21">
        <f t="shared" si="1"/>
        <v>66.306253857979954</v>
      </c>
      <c r="F16" s="21">
        <f t="shared" ca="1" si="1"/>
        <v>884.85204865161404</v>
      </c>
      <c r="G16" s="21">
        <f t="shared" si="1"/>
        <v>0</v>
      </c>
      <c r="H16" s="21">
        <f t="shared" si="1"/>
        <v>0</v>
      </c>
      <c r="I16" s="21">
        <f t="shared" si="1"/>
        <v>0</v>
      </c>
      <c r="J16" s="21">
        <f t="shared" si="1"/>
        <v>0</v>
      </c>
      <c r="K16" s="21">
        <f t="shared" si="1"/>
        <v>0</v>
      </c>
      <c r="L16" s="21">
        <f t="shared" ca="1" si="1"/>
        <v>0</v>
      </c>
      <c r="M16" s="21">
        <f t="shared" si="1"/>
        <v>0</v>
      </c>
      <c r="N16" s="21">
        <f t="shared" ca="1" si="1"/>
        <v>460.71141507145211</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0.2109108868425158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1261.8691069419583</v>
      </c>
      <c r="C20" s="23">
        <f t="shared" ref="C20:P20" ca="1" si="2">C16*C18</f>
        <v>0</v>
      </c>
      <c r="D20" s="23">
        <f t="shared" ca="1" si="2"/>
        <v>1154.628723300892</v>
      </c>
      <c r="E20" s="23">
        <f t="shared" si="2"/>
        <v>15.051519625761451</v>
      </c>
      <c r="F20" s="23">
        <f t="shared" ca="1" si="2"/>
        <v>236.25549698998097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941.00280000000009</v>
      </c>
      <c r="C26" s="39">
        <f>IF(ISERROR(B26*3.6/1000000/'E Balans VL '!Z12*100),0,B26*3.6/1000000/'E Balans VL '!Z12*100)</f>
        <v>2.0670214410176926E-2</v>
      </c>
      <c r="D26" s="237" t="s">
        <v>692</v>
      </c>
      <c r="F26" s="6"/>
    </row>
    <row r="27" spans="1:18">
      <c r="A27" s="231" t="s">
        <v>53</v>
      </c>
      <c r="B27" s="33">
        <f>IF(ISERROR(TER_horeca_ele_kWh/1000),0,TER_horeca_ele_kWh/1000)</f>
        <v>584.91449999999998</v>
      </c>
      <c r="C27" s="39">
        <f>IF(ISERROR(B27*3.6/1000000/'E Balans VL '!Z9*100),0,B27*3.6/1000000/'E Balans VL '!Z9*100)</f>
        <v>4.7003710571600459E-2</v>
      </c>
      <c r="D27" s="237" t="s">
        <v>692</v>
      </c>
      <c r="F27" s="6"/>
    </row>
    <row r="28" spans="1:18">
      <c r="A28" s="171" t="s">
        <v>52</v>
      </c>
      <c r="B28" s="33">
        <f>IF(ISERROR(TER_handel_ele_kWh/1000),0,TER_handel_ele_kWh/1000)</f>
        <v>1873.537</v>
      </c>
      <c r="C28" s="39">
        <f>IF(ISERROR(B28*3.6/1000000/'E Balans VL '!Z13*100),0,B28*3.6/1000000/'E Balans VL '!Z13*100)</f>
        <v>5.5399180209569798E-2</v>
      </c>
      <c r="D28" s="237" t="s">
        <v>692</v>
      </c>
      <c r="F28" s="6"/>
    </row>
    <row r="29" spans="1:18">
      <c r="A29" s="231" t="s">
        <v>51</v>
      </c>
      <c r="B29" s="33">
        <f>IF(ISERROR(TER_gezond_ele_kWh/1000),0,TER_gezond_ele_kWh/1000)</f>
        <v>225.89</v>
      </c>
      <c r="C29" s="39">
        <f>IF(ISERROR(B29*3.6/1000000/'E Balans VL '!Z10*100),0,B29*3.6/1000000/'E Balans VL '!Z10*100)</f>
        <v>2.5451971034289075E-2</v>
      </c>
      <c r="D29" s="237" t="s">
        <v>692</v>
      </c>
      <c r="F29" s="6"/>
    </row>
    <row r="30" spans="1:18">
      <c r="A30" s="231" t="s">
        <v>50</v>
      </c>
      <c r="B30" s="33">
        <f>IF(ISERROR(TER_ander_ele_kWh/1000),0,TER_ander_ele_kWh/1000)</f>
        <v>383.56380000000001</v>
      </c>
      <c r="C30" s="39">
        <f>IF(ISERROR(B30*3.6/1000000/'E Balans VL '!Z14*100),0,B30*3.6/1000000/'E Balans VL '!Z14*100)</f>
        <v>2.9008274521300673E-2</v>
      </c>
      <c r="D30" s="237" t="s">
        <v>692</v>
      </c>
      <c r="F30" s="6"/>
    </row>
    <row r="31" spans="1:18">
      <c r="A31" s="231" t="s">
        <v>55</v>
      </c>
      <c r="B31" s="33">
        <f>IF(ISERROR(TER_onderwijs_ele_kWh/1000),0,TER_onderwijs_ele_kWh/1000)</f>
        <v>52.493029999999997</v>
      </c>
      <c r="C31" s="39">
        <f>IF(ISERROR(B31*3.6/1000000/'E Balans VL '!Z11*100),0,B31*3.6/1000000/'E Balans VL '!Z11*100)</f>
        <v>1.0896334454622422E-2</v>
      </c>
      <c r="D31" s="237" t="s">
        <v>692</v>
      </c>
    </row>
    <row r="32" spans="1:18">
      <c r="A32" s="231" t="s">
        <v>260</v>
      </c>
      <c r="B32" s="33">
        <f>IF(ISERROR(TER_rest_ele_kWh/1000),0,TER_rest_ele_kWh/1000)</f>
        <v>1921.548</v>
      </c>
      <c r="C32" s="39">
        <f>IF(ISERROR(B32*3.6/1000000/'E Balans VL '!Z8*100),0,B32*3.6/1000000/'E Balans VL '!Z8*100)</f>
        <v>1.6187911491592474E-2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15474.531299999999</v>
      </c>
      <c r="C5" s="17">
        <f>IF(ISERROR('Eigen informatie GS &amp; warmtenet'!B59),0,'Eigen informatie GS &amp; warmtenet'!B59)</f>
        <v>0</v>
      </c>
      <c r="D5" s="30">
        <f>SUM(D6:D15)</f>
        <v>15596.134833285203</v>
      </c>
      <c r="E5" s="17">
        <f>SUM(E6:E15)</f>
        <v>485.20258641952682</v>
      </c>
      <c r="F5" s="17">
        <f>SUM(F6:F15)</f>
        <v>20893.46710933109</v>
      </c>
      <c r="G5" s="18"/>
      <c r="H5" s="17"/>
      <c r="I5" s="17"/>
      <c r="J5" s="17">
        <f>SUM(J6:J15)</f>
        <v>265.65474342850575</v>
      </c>
      <c r="K5" s="17"/>
      <c r="L5" s="17"/>
      <c r="M5" s="17"/>
      <c r="N5" s="17">
        <f>SUM(N6:N15)</f>
        <v>6465.1635153061407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518.31330000000003</v>
      </c>
      <c r="C9" s="33"/>
      <c r="D9" s="37">
        <f>IF( ISERROR(IND_andere_gas_kWh/1000),0,IND_andere_gas_kWh/1000)*0.902</f>
        <v>371.66375126561434</v>
      </c>
      <c r="E9" s="33">
        <f>C31*'E Balans VL '!I19/100/3.6*1000000</f>
        <v>142.51489885118531</v>
      </c>
      <c r="F9" s="33">
        <f>C31*'E Balans VL '!L19/100/3.6*1000000+C31*'E Balans VL '!N19/100/3.6*1000000</f>
        <v>408.5210733898727</v>
      </c>
      <c r="G9" s="34"/>
      <c r="H9" s="33"/>
      <c r="I9" s="33"/>
      <c r="J9" s="40">
        <f>C31*'E Balans VL '!D19/100/3.6*1000000+C31*'E Balans VL '!E19/100/3.6*1000000</f>
        <v>0</v>
      </c>
      <c r="K9" s="33"/>
      <c r="L9" s="33"/>
      <c r="M9" s="33"/>
      <c r="N9" s="33">
        <f>C31*'E Balans VL '!Y19/100/3.6*1000000</f>
        <v>167.79169639172278</v>
      </c>
      <c r="O9" s="33"/>
      <c r="P9" s="33"/>
      <c r="R9" s="32"/>
    </row>
    <row r="10" spans="1:18">
      <c r="A10" s="6" t="s">
        <v>41</v>
      </c>
      <c r="B10" s="37">
        <f t="shared" si="0"/>
        <v>10280.123</v>
      </c>
      <c r="C10" s="33"/>
      <c r="D10" s="37">
        <f>IF( ISERROR(IND_voed_gas_kWh/1000),0,IND_voed_gas_kWh/1000)*0.902</f>
        <v>181.77690942730473</v>
      </c>
      <c r="E10" s="33">
        <f>C32*'E Balans VL '!I20/100/3.6*1000000</f>
        <v>104.80019063292407</v>
      </c>
      <c r="F10" s="33">
        <f>C32*'E Balans VL '!L20/100/3.6*1000000+C32*'E Balans VL '!N20/100/3.6*1000000</f>
        <v>19419.088051037186</v>
      </c>
      <c r="G10" s="34"/>
      <c r="H10" s="33"/>
      <c r="I10" s="33"/>
      <c r="J10" s="40">
        <f>C32*'E Balans VL '!D20/100/3.6*1000000+C32*'E Balans VL '!E20/100/3.6*1000000</f>
        <v>246.03698010474278</v>
      </c>
      <c r="K10" s="33"/>
      <c r="L10" s="33"/>
      <c r="M10" s="33"/>
      <c r="N10" s="33">
        <f>C32*'E Balans VL '!Y20/100/3.6*1000000</f>
        <v>5418.8089459679741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4676.0950000000003</v>
      </c>
      <c r="C15" s="33"/>
      <c r="D15" s="37">
        <f>IF( ISERROR(IND_rest_gas_kWh/1000),0,IND_rest_gas_kWh/1000)*0.902</f>
        <v>15042.694172592284</v>
      </c>
      <c r="E15" s="33">
        <f>C37*'E Balans VL '!I15/100/3.6*1000000</f>
        <v>237.88749693541749</v>
      </c>
      <c r="F15" s="33">
        <f>C37*'E Balans VL '!L15/100/3.6*1000000+C37*'E Balans VL '!N15/100/3.6*1000000</f>
        <v>1065.8579849040307</v>
      </c>
      <c r="G15" s="34"/>
      <c r="H15" s="33"/>
      <c r="I15" s="33"/>
      <c r="J15" s="40">
        <f>C37*'E Balans VL '!D15/100/3.6*1000000+C37*'E Balans VL '!E15/100/3.6*1000000</f>
        <v>19.617763323762983</v>
      </c>
      <c r="K15" s="33"/>
      <c r="L15" s="33"/>
      <c r="M15" s="33"/>
      <c r="N15" s="33">
        <f>C37*'E Balans VL '!Y15/100/3.6*1000000</f>
        <v>878.56287294644346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15474.531299999999</v>
      </c>
      <c r="C18" s="21">
        <f>C5+C16</f>
        <v>0</v>
      </c>
      <c r="D18" s="21">
        <f>MAX((D5+D16),0)</f>
        <v>15596.134833285203</v>
      </c>
      <c r="E18" s="21">
        <f>MAX((E5+E16),0)</f>
        <v>485.20258641952682</v>
      </c>
      <c r="F18" s="21">
        <f>MAX((F5+F16),0)</f>
        <v>20893.46710933109</v>
      </c>
      <c r="G18" s="21"/>
      <c r="H18" s="21"/>
      <c r="I18" s="21"/>
      <c r="J18" s="21">
        <f>MAX((J5+J16),0)</f>
        <v>265.65474342850575</v>
      </c>
      <c r="K18" s="21"/>
      <c r="L18" s="21">
        <f>MAX((L5+L16),0)</f>
        <v>0</v>
      </c>
      <c r="M18" s="21"/>
      <c r="N18" s="21">
        <f>MAX((N5+N16),0)</f>
        <v>6465.1635153061407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0.2109108868425158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3263.7471199552688</v>
      </c>
      <c r="C22" s="23">
        <f ca="1">C18*C20</f>
        <v>0</v>
      </c>
      <c r="D22" s="23">
        <f>D18*D20</f>
        <v>3150.4192363236111</v>
      </c>
      <c r="E22" s="23">
        <f>E18*E20</f>
        <v>110.1409871172326</v>
      </c>
      <c r="F22" s="23">
        <f>F18*F20</f>
        <v>5578.555718191401</v>
      </c>
      <c r="G22" s="23"/>
      <c r="H22" s="23"/>
      <c r="I22" s="23"/>
      <c r="J22" s="23">
        <f>J18*J20</f>
        <v>94.041779173691026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518.31330000000003</v>
      </c>
      <c r="C31" s="39">
        <f>IF(ISERROR(B31*3.6/1000000/'E Balans VL '!Z19*100),0,B31*3.6/1000000/'E Balans VL '!Z19*100)</f>
        <v>2.2686489058636797E-2</v>
      </c>
      <c r="D31" s="237" t="s">
        <v>692</v>
      </c>
    </row>
    <row r="32" spans="1:18">
      <c r="A32" s="171" t="s">
        <v>41</v>
      </c>
      <c r="B32" s="37">
        <f>IF( ISERROR(IND_voed_ele_kWh/1000),0,IND_voed_ele_kWh/1000)</f>
        <v>10280.123</v>
      </c>
      <c r="C32" s="39">
        <f>IF(ISERROR(B32*3.6/1000000/'E Balans VL '!Z20*100),0,B32*3.6/1000000/'E Balans VL '!Z20*100)</f>
        <v>2.5450170687542006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4676.0950000000003</v>
      </c>
      <c r="C37" s="39">
        <f>IF(ISERROR(B37*3.6/1000000/'E Balans VL '!Z15*100),0,B37*3.6/1000000/'E Balans VL '!Z15*100)</f>
        <v>3.4672443843658245E-2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1398.1349</v>
      </c>
      <c r="C5" s="17">
        <f>'Eigen informatie GS &amp; warmtenet'!B60</f>
        <v>0</v>
      </c>
      <c r="D5" s="30">
        <f>IF(ISERROR(SUM(LB_lb_gas_kWh,LB_rest_gas_kWh,onbekend_gas_kWh)/1000),0,SUM(LB_lb_gas_kWh,LB_rest_gas_kWh,onbekend_gas_kWh)/1000)*0.902</f>
        <v>1014.8802622274811</v>
      </c>
      <c r="E5" s="17">
        <f>B17*'E Balans VL '!I25/3.6*1000000/100</f>
        <v>12.950111036524929</v>
      </c>
      <c r="F5" s="17">
        <f>B17*('E Balans VL '!L25/3.6*1000000+'E Balans VL '!N25/3.6*1000000)/100</f>
        <v>3547.334585725122</v>
      </c>
      <c r="G5" s="18"/>
      <c r="H5" s="17"/>
      <c r="I5" s="17"/>
      <c r="J5" s="17">
        <f>('E Balans VL '!D25+'E Balans VL '!E25)/3.6*1000000*landbouw!B17/100</f>
        <v>214.3496834010235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1398.1349</v>
      </c>
      <c r="C8" s="21">
        <f>C5+C6</f>
        <v>0</v>
      </c>
      <c r="D8" s="21">
        <f>MAX((D5+D6),0)</f>
        <v>1014.8802622274811</v>
      </c>
      <c r="E8" s="21">
        <f>MAX((E5+E6),0)</f>
        <v>12.950111036524929</v>
      </c>
      <c r="F8" s="21">
        <f>MAX((F5+F6),0)</f>
        <v>3547.334585725122</v>
      </c>
      <c r="G8" s="21"/>
      <c r="H8" s="21"/>
      <c r="I8" s="21"/>
      <c r="J8" s="21">
        <f>MAX((J5+J6),0)</f>
        <v>214.3496834010235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0.2109108868425158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294.88187168447217</v>
      </c>
      <c r="C12" s="23">
        <f ca="1">C8*C10</f>
        <v>0</v>
      </c>
      <c r="D12" s="23">
        <f>D8*D10</f>
        <v>205.00581296995119</v>
      </c>
      <c r="E12" s="23">
        <f>E8*E10</f>
        <v>2.939675205291159</v>
      </c>
      <c r="F12" s="23">
        <f>F8*F10</f>
        <v>947.13833438860763</v>
      </c>
      <c r="G12" s="23"/>
      <c r="H12" s="23"/>
      <c r="I12" s="23"/>
      <c r="J12" s="23">
        <f>J8*J10</f>
        <v>75.879787923962311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0.19878513719590835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357.88329234017942</v>
      </c>
      <c r="C26" s="247">
        <f>B26*'GWP N2O_CH4'!B5</f>
        <v>7515.5491391437681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114.22879885389619</v>
      </c>
      <c r="C27" s="247">
        <f>B27*'GWP N2O_CH4'!B5</f>
        <v>2398.8047759318201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4.531728015003333</v>
      </c>
      <c r="C28" s="247">
        <f>B28*'GWP N2O_CH4'!B4</f>
        <v>1404.8356846510333</v>
      </c>
      <c r="D28" s="50"/>
    </row>
    <row r="29" spans="1:4">
      <c r="A29" s="41" t="s">
        <v>277</v>
      </c>
      <c r="B29" s="247">
        <f>B34*'ha_N2O bodem landbouw'!B4</f>
        <v>9.4927747696431677</v>
      </c>
      <c r="C29" s="247">
        <f>B29*'GWP N2O_CH4'!B4</f>
        <v>2942.7601785893821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2.1290621436716077E-3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2.318909707286589E-5</v>
      </c>
      <c r="C5" s="464" t="s">
        <v>211</v>
      </c>
      <c r="D5" s="449">
        <f>SUM(D6:D11)</f>
        <v>7.1247010291195783E-5</v>
      </c>
      <c r="E5" s="449">
        <f>SUM(E6:E11)</f>
        <v>4.4357717805656614E-4</v>
      </c>
      <c r="F5" s="462" t="s">
        <v>211</v>
      </c>
      <c r="G5" s="449">
        <f>SUM(G6:G11)</f>
        <v>0.12187550883405125</v>
      </c>
      <c r="H5" s="449">
        <f>SUM(H6:H11)</f>
        <v>2.6666534995152903E-2</v>
      </c>
      <c r="I5" s="464" t="s">
        <v>211</v>
      </c>
      <c r="J5" s="464" t="s">
        <v>211</v>
      </c>
      <c r="K5" s="464" t="s">
        <v>211</v>
      </c>
      <c r="L5" s="464" t="s">
        <v>211</v>
      </c>
      <c r="M5" s="449">
        <f>SUM(M6:M11)</f>
        <v>7.870844330808183E-3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1.3286380920907765E-5</v>
      </c>
      <c r="C6" s="450"/>
      <c r="D6" s="963">
        <f>vkm_2011_GW_PW*SUMIFS(TableVerdeelsleutelVkm[CNG],TableVerdeelsleutelVkm[Voertuigtype],"Lichte voertuigen")*SUMIFS(TableECFTransport[EnergieConsumptieFactor (PJ per km)],TableECFTransport[Index],CONCATENATE($A6,"_CNG_CNG"))</f>
        <v>3.0732861840004259E-5</v>
      </c>
      <c r="E6" s="963">
        <f>vkm_2011_GW_PW*SUMIFS(TableVerdeelsleutelVkm[LPG],TableVerdeelsleutelVkm[Voertuigtype],"Lichte voertuigen")*SUMIFS(TableECFTransport[EnergieConsumptieFactor (PJ per km)],TableECFTransport[Index],CONCATENATE($A6,"_LPG_LPG"))</f>
        <v>2.001138372466945E-4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4.1572169191819767E-2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1.1718335380629613E-2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2.7655009329686517E-3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2.6001788296218579E-2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8.8921393828344629E-6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1.5043508377608282E-3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9.9027161519581271E-6</v>
      </c>
      <c r="C8" s="450"/>
      <c r="D8" s="452">
        <f>vkm_2011_NGW_PW*SUMIFS(TableVerdeelsleutelVkm[CNG],TableVerdeelsleutelVkm[Voertuigtype],"Lichte voertuigen")*SUMIFS(TableECFTransport[EnergieConsumptieFactor (PJ per km)],TableECFTransport[Index],CONCATENATE($A8,"_CNG_CNG"))</f>
        <v>4.0514148451191524E-5</v>
      </c>
      <c r="E8" s="452">
        <f>vkm_2011_NGW_PW*SUMIFS(TableVerdeelsleutelVkm[LPG],TableVerdeelsleutelVkm[Voertuigtype],"Lichte voertuigen")*SUMIFS(TableECFTransport[EnergieConsumptieFactor (PJ per km)],TableECFTransport[Index],CONCATENATE($A8,"_LPG_LPG"))</f>
        <v>2.4346334080987167E-4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4.7280223121920192E-2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1.4937035455116376E-2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3.1947728994464013E-3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7.0213282240927143E-3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2.2720200240775724E-6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4.0621966063230177E-4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6.4414158535738588</v>
      </c>
      <c r="C14" s="21"/>
      <c r="D14" s="21">
        <f t="shared" ref="D14:M14" si="0">((D5)*10^9/3600)+D12</f>
        <v>19.790836191998828</v>
      </c>
      <c r="E14" s="21">
        <f t="shared" si="0"/>
        <v>123.21588279349061</v>
      </c>
      <c r="F14" s="21"/>
      <c r="G14" s="21">
        <f t="shared" si="0"/>
        <v>33854.308009458684</v>
      </c>
      <c r="H14" s="21">
        <f t="shared" si="0"/>
        <v>7407.3708319869174</v>
      </c>
      <c r="I14" s="21"/>
      <c r="J14" s="21"/>
      <c r="K14" s="21"/>
      <c r="L14" s="21"/>
      <c r="M14" s="21">
        <f t="shared" si="0"/>
        <v>2186.3456474467175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0.2109108868425158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1.3585647301987034</v>
      </c>
      <c r="C18" s="23"/>
      <c r="D18" s="23">
        <f t="shared" ref="D18:M18" si="1">D14*D16</f>
        <v>3.9977489107837636</v>
      </c>
      <c r="E18" s="23">
        <f t="shared" si="1"/>
        <v>27.970005394122367</v>
      </c>
      <c r="F18" s="23"/>
      <c r="G18" s="23">
        <f t="shared" si="1"/>
        <v>9039.1002385254687</v>
      </c>
      <c r="H18" s="23">
        <f t="shared" si="1"/>
        <v>1844.4353371647424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2.3820115223156186E-3</v>
      </c>
      <c r="H50" s="321">
        <f t="shared" si="2"/>
        <v>0</v>
      </c>
      <c r="I50" s="321">
        <f t="shared" si="2"/>
        <v>0</v>
      </c>
      <c r="J50" s="321">
        <f t="shared" si="2"/>
        <v>0</v>
      </c>
      <c r="K50" s="321">
        <f t="shared" si="2"/>
        <v>0</v>
      </c>
      <c r="L50" s="321">
        <f t="shared" si="2"/>
        <v>0</v>
      </c>
      <c r="M50" s="321">
        <f t="shared" si="2"/>
        <v>1.3583917317896234E-4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2.3820115223156186E-3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1.3583917317896234E-4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661.66986730989402</v>
      </c>
      <c r="H54" s="21">
        <f t="shared" si="3"/>
        <v>0</v>
      </c>
      <c r="I54" s="21">
        <f t="shared" si="3"/>
        <v>0</v>
      </c>
      <c r="J54" s="21">
        <f t="shared" si="3"/>
        <v>0</v>
      </c>
      <c r="K54" s="21">
        <f t="shared" si="3"/>
        <v>0</v>
      </c>
      <c r="L54" s="21">
        <f t="shared" si="3"/>
        <v>0</v>
      </c>
      <c r="M54" s="21">
        <f t="shared" si="3"/>
        <v>37.73310366082287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0.2109108868425158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176.6658545717417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1830.3626832979253</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1830.3626832979253</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6602.1291300000003</v>
      </c>
      <c r="D10" s="719">
        <f ca="1">tertiair!C16</f>
        <v>0</v>
      </c>
      <c r="E10" s="719">
        <f ca="1">tertiair!D16</f>
        <v>5715.9837787172864</v>
      </c>
      <c r="F10" s="719">
        <f>tertiair!E16</f>
        <v>66.306253857979954</v>
      </c>
      <c r="G10" s="719">
        <f ca="1">tertiair!F16</f>
        <v>884.85204865161404</v>
      </c>
      <c r="H10" s="719">
        <f>tertiair!G16</f>
        <v>0</v>
      </c>
      <c r="I10" s="719">
        <f>tertiair!H16</f>
        <v>0</v>
      </c>
      <c r="J10" s="719">
        <f>tertiair!I16</f>
        <v>0</v>
      </c>
      <c r="K10" s="719">
        <f>tertiair!J16</f>
        <v>0</v>
      </c>
      <c r="L10" s="719">
        <f>tertiair!K16</f>
        <v>0</v>
      </c>
      <c r="M10" s="719">
        <f ca="1">tertiair!L16</f>
        <v>0</v>
      </c>
      <c r="N10" s="719">
        <f>tertiair!M16</f>
        <v>0</v>
      </c>
      <c r="O10" s="719">
        <f ca="1">tertiair!N16</f>
        <v>460.71141507145211</v>
      </c>
      <c r="P10" s="719">
        <f>tertiair!O16</f>
        <v>3.1266666666666669</v>
      </c>
      <c r="Q10" s="720">
        <f>tertiair!P16</f>
        <v>0</v>
      </c>
      <c r="R10" s="722">
        <f ca="1">SUM(C10:Q10)</f>
        <v>13733.109292964999</v>
      </c>
      <c r="S10" s="67"/>
    </row>
    <row r="11" spans="1:19" s="475" customFormat="1">
      <c r="A11" s="871" t="s">
        <v>225</v>
      </c>
      <c r="B11" s="876"/>
      <c r="C11" s="719">
        <f>huishoudens!B8</f>
        <v>16612.49069031595</v>
      </c>
      <c r="D11" s="719">
        <f>huishoudens!C8</f>
        <v>0</v>
      </c>
      <c r="E11" s="719">
        <f>huishoudens!D8</f>
        <v>25415.915285162897</v>
      </c>
      <c r="F11" s="719">
        <f>huishoudens!E8</f>
        <v>1287.7265256117671</v>
      </c>
      <c r="G11" s="719">
        <f>huishoudens!F8</f>
        <v>11335.891780068931</v>
      </c>
      <c r="H11" s="719">
        <f>huishoudens!G8</f>
        <v>0</v>
      </c>
      <c r="I11" s="719">
        <f>huishoudens!H8</f>
        <v>0</v>
      </c>
      <c r="J11" s="719">
        <f>huishoudens!I8</f>
        <v>0</v>
      </c>
      <c r="K11" s="719">
        <f>huishoudens!J8</f>
        <v>1530.0787332260927</v>
      </c>
      <c r="L11" s="719">
        <f>huishoudens!K8</f>
        <v>0</v>
      </c>
      <c r="M11" s="719">
        <f>huishoudens!L8</f>
        <v>0</v>
      </c>
      <c r="N11" s="719">
        <f>huishoudens!M8</f>
        <v>0</v>
      </c>
      <c r="O11" s="719">
        <f>huishoudens!N8</f>
        <v>5929.8364320712208</v>
      </c>
      <c r="P11" s="719">
        <f>huishoudens!O8</f>
        <v>98.490000000000009</v>
      </c>
      <c r="Q11" s="720">
        <f>huishoudens!P8</f>
        <v>324.13333333333333</v>
      </c>
      <c r="R11" s="722">
        <f>SUM(C11:Q11)</f>
        <v>62534.562779790191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15474.531299999999</v>
      </c>
      <c r="D13" s="719">
        <f>industrie!C18</f>
        <v>0</v>
      </c>
      <c r="E13" s="719">
        <f>industrie!D18</f>
        <v>15596.134833285203</v>
      </c>
      <c r="F13" s="719">
        <f>industrie!E18</f>
        <v>485.20258641952682</v>
      </c>
      <c r="G13" s="719">
        <f>industrie!F18</f>
        <v>20893.46710933109</v>
      </c>
      <c r="H13" s="719">
        <f>industrie!G18</f>
        <v>0</v>
      </c>
      <c r="I13" s="719">
        <f>industrie!H18</f>
        <v>0</v>
      </c>
      <c r="J13" s="719">
        <f>industrie!I18</f>
        <v>0</v>
      </c>
      <c r="K13" s="719">
        <f>industrie!J18</f>
        <v>265.65474342850575</v>
      </c>
      <c r="L13" s="719">
        <f>industrie!K18</f>
        <v>0</v>
      </c>
      <c r="M13" s="719">
        <f>industrie!L18</f>
        <v>0</v>
      </c>
      <c r="N13" s="719">
        <f>industrie!M18</f>
        <v>0</v>
      </c>
      <c r="O13" s="719">
        <f>industrie!N18</f>
        <v>6465.1635153061407</v>
      </c>
      <c r="P13" s="719">
        <f>industrie!O18</f>
        <v>0</v>
      </c>
      <c r="Q13" s="720">
        <f>industrie!P18</f>
        <v>0</v>
      </c>
      <c r="R13" s="722">
        <f>SUM(C13:Q13)</f>
        <v>59180.154087770461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38689.151120315946</v>
      </c>
      <c r="D15" s="724">
        <f t="shared" ref="D15:Q15" ca="1" si="0">SUM(D9:D14)</f>
        <v>0</v>
      </c>
      <c r="E15" s="724">
        <f t="shared" ca="1" si="0"/>
        <v>46728.033897165384</v>
      </c>
      <c r="F15" s="724">
        <f t="shared" si="0"/>
        <v>1839.2353658892739</v>
      </c>
      <c r="G15" s="724">
        <f t="shared" ca="1" si="0"/>
        <v>33114.210938051634</v>
      </c>
      <c r="H15" s="724">
        <f t="shared" si="0"/>
        <v>0</v>
      </c>
      <c r="I15" s="724">
        <f t="shared" si="0"/>
        <v>0</v>
      </c>
      <c r="J15" s="724">
        <f t="shared" si="0"/>
        <v>0</v>
      </c>
      <c r="K15" s="724">
        <f t="shared" si="0"/>
        <v>1795.7334766545985</v>
      </c>
      <c r="L15" s="724">
        <f t="shared" si="0"/>
        <v>0</v>
      </c>
      <c r="M15" s="724">
        <f t="shared" ca="1" si="0"/>
        <v>0</v>
      </c>
      <c r="N15" s="724">
        <f t="shared" si="0"/>
        <v>0</v>
      </c>
      <c r="O15" s="724">
        <f t="shared" ca="1" si="0"/>
        <v>12855.711362448814</v>
      </c>
      <c r="P15" s="724">
        <f t="shared" si="0"/>
        <v>101.61666666666667</v>
      </c>
      <c r="Q15" s="725">
        <f t="shared" si="0"/>
        <v>324.13333333333333</v>
      </c>
      <c r="R15" s="726">
        <f ca="1">SUM(R9:R14)</f>
        <v>135447.82616052564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661.66986730989402</v>
      </c>
      <c r="I18" s="719">
        <f>transport!H54</f>
        <v>0</v>
      </c>
      <c r="J18" s="719">
        <f>transport!I54</f>
        <v>0</v>
      </c>
      <c r="K18" s="719">
        <f>transport!J54</f>
        <v>0</v>
      </c>
      <c r="L18" s="719">
        <f>transport!K54</f>
        <v>0</v>
      </c>
      <c r="M18" s="719">
        <f>transport!L54</f>
        <v>0</v>
      </c>
      <c r="N18" s="719">
        <f>transport!M54</f>
        <v>37.73310366082287</v>
      </c>
      <c r="O18" s="719">
        <f>transport!N54</f>
        <v>0</v>
      </c>
      <c r="P18" s="719">
        <f>transport!O54</f>
        <v>0</v>
      </c>
      <c r="Q18" s="720">
        <f>transport!P54</f>
        <v>0</v>
      </c>
      <c r="R18" s="722">
        <f>SUM(C18:Q18)</f>
        <v>699.40297097071686</v>
      </c>
      <c r="S18" s="67"/>
    </row>
    <row r="19" spans="1:19" s="475" customFormat="1" ht="15" thickBot="1">
      <c r="A19" s="871" t="s">
        <v>307</v>
      </c>
      <c r="B19" s="876"/>
      <c r="C19" s="728">
        <f>transport!B14</f>
        <v>6.4414158535738588</v>
      </c>
      <c r="D19" s="728">
        <f>transport!C14</f>
        <v>0</v>
      </c>
      <c r="E19" s="728">
        <f>transport!D14</f>
        <v>19.790836191998828</v>
      </c>
      <c r="F19" s="728">
        <f>transport!E14</f>
        <v>123.21588279349061</v>
      </c>
      <c r="G19" s="728">
        <f>transport!F14</f>
        <v>0</v>
      </c>
      <c r="H19" s="728">
        <f>transport!G14</f>
        <v>33854.308009458684</v>
      </c>
      <c r="I19" s="728">
        <f>transport!H14</f>
        <v>7407.3708319869174</v>
      </c>
      <c r="J19" s="728">
        <f>transport!I14</f>
        <v>0</v>
      </c>
      <c r="K19" s="728">
        <f>transport!J14</f>
        <v>0</v>
      </c>
      <c r="L19" s="728">
        <f>transport!K14</f>
        <v>0</v>
      </c>
      <c r="M19" s="728">
        <f>transport!L14</f>
        <v>0</v>
      </c>
      <c r="N19" s="728">
        <f>transport!M14</f>
        <v>2186.3456474467175</v>
      </c>
      <c r="O19" s="728">
        <f>transport!N14</f>
        <v>0</v>
      </c>
      <c r="P19" s="728">
        <f>transport!O14</f>
        <v>0</v>
      </c>
      <c r="Q19" s="729">
        <f>transport!P14</f>
        <v>0</v>
      </c>
      <c r="R19" s="730">
        <f>SUM(C19:Q19)</f>
        <v>43597.472623731381</v>
      </c>
      <c r="S19" s="67"/>
    </row>
    <row r="20" spans="1:19" s="475" customFormat="1" ht="15.75" thickBot="1">
      <c r="A20" s="731" t="s">
        <v>230</v>
      </c>
      <c r="B20" s="879"/>
      <c r="C20" s="874">
        <f>SUM(C17:C19)</f>
        <v>6.4414158535738588</v>
      </c>
      <c r="D20" s="732">
        <f t="shared" ref="D20:R20" si="1">SUM(D17:D19)</f>
        <v>0</v>
      </c>
      <c r="E20" s="732">
        <f t="shared" si="1"/>
        <v>19.790836191998828</v>
      </c>
      <c r="F20" s="732">
        <f t="shared" si="1"/>
        <v>123.21588279349061</v>
      </c>
      <c r="G20" s="732">
        <f t="shared" si="1"/>
        <v>0</v>
      </c>
      <c r="H20" s="732">
        <f t="shared" si="1"/>
        <v>34515.977876768578</v>
      </c>
      <c r="I20" s="732">
        <f t="shared" si="1"/>
        <v>7407.3708319869174</v>
      </c>
      <c r="J20" s="732">
        <f t="shared" si="1"/>
        <v>0</v>
      </c>
      <c r="K20" s="732">
        <f t="shared" si="1"/>
        <v>0</v>
      </c>
      <c r="L20" s="732">
        <f t="shared" si="1"/>
        <v>0</v>
      </c>
      <c r="M20" s="732">
        <f t="shared" si="1"/>
        <v>0</v>
      </c>
      <c r="N20" s="732">
        <f t="shared" si="1"/>
        <v>2224.0787511075405</v>
      </c>
      <c r="O20" s="732">
        <f t="shared" si="1"/>
        <v>0</v>
      </c>
      <c r="P20" s="732">
        <f t="shared" si="1"/>
        <v>0</v>
      </c>
      <c r="Q20" s="733">
        <f t="shared" si="1"/>
        <v>0</v>
      </c>
      <c r="R20" s="734">
        <f t="shared" si="1"/>
        <v>44296.875594702098</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1398.1349</v>
      </c>
      <c r="D22" s="728">
        <f>+landbouw!C8</f>
        <v>0</v>
      </c>
      <c r="E22" s="728">
        <f>+landbouw!D8</f>
        <v>1014.8802622274811</v>
      </c>
      <c r="F22" s="728">
        <f>+landbouw!E8</f>
        <v>12.950111036524929</v>
      </c>
      <c r="G22" s="728">
        <f>+landbouw!F8</f>
        <v>3547.334585725122</v>
      </c>
      <c r="H22" s="728">
        <f>+landbouw!G8</f>
        <v>0</v>
      </c>
      <c r="I22" s="728">
        <f>+landbouw!H8</f>
        <v>0</v>
      </c>
      <c r="J22" s="728">
        <f>+landbouw!I8</f>
        <v>0</v>
      </c>
      <c r="K22" s="728">
        <f>+landbouw!J8</f>
        <v>214.3496834010235</v>
      </c>
      <c r="L22" s="728">
        <f>+landbouw!K8</f>
        <v>0</v>
      </c>
      <c r="M22" s="728">
        <f>+landbouw!L8</f>
        <v>0</v>
      </c>
      <c r="N22" s="728">
        <f>+landbouw!M8</f>
        <v>0</v>
      </c>
      <c r="O22" s="728">
        <f>+landbouw!N8</f>
        <v>0</v>
      </c>
      <c r="P22" s="728">
        <f>+landbouw!O8</f>
        <v>0</v>
      </c>
      <c r="Q22" s="729">
        <f>+landbouw!P8</f>
        <v>0</v>
      </c>
      <c r="R22" s="730">
        <f>SUM(C22:Q22)</f>
        <v>6187.6495423901524</v>
      </c>
      <c r="S22" s="67"/>
    </row>
    <row r="23" spans="1:19" s="475" customFormat="1" ht="17.25" thickTop="1" thickBot="1">
      <c r="A23" s="735" t="s">
        <v>116</v>
      </c>
      <c r="B23" s="865"/>
      <c r="C23" s="736">
        <f ca="1">C20+C15+C22</f>
        <v>40093.727436169516</v>
      </c>
      <c r="D23" s="736">
        <f t="shared" ref="D23:Q23" ca="1" si="2">D20+D15+D22</f>
        <v>0</v>
      </c>
      <c r="E23" s="736">
        <f t="shared" ca="1" si="2"/>
        <v>47762.704995584863</v>
      </c>
      <c r="F23" s="736">
        <f t="shared" si="2"/>
        <v>1975.4013597192895</v>
      </c>
      <c r="G23" s="736">
        <f t="shared" ca="1" si="2"/>
        <v>36661.545523776753</v>
      </c>
      <c r="H23" s="736">
        <f t="shared" si="2"/>
        <v>34515.977876768578</v>
      </c>
      <c r="I23" s="736">
        <f t="shared" si="2"/>
        <v>7407.3708319869174</v>
      </c>
      <c r="J23" s="736">
        <f t="shared" si="2"/>
        <v>0</v>
      </c>
      <c r="K23" s="736">
        <f t="shared" si="2"/>
        <v>2010.0831600556219</v>
      </c>
      <c r="L23" s="736">
        <f t="shared" si="2"/>
        <v>0</v>
      </c>
      <c r="M23" s="736">
        <f t="shared" ca="1" si="2"/>
        <v>0</v>
      </c>
      <c r="N23" s="736">
        <f t="shared" si="2"/>
        <v>2224.0787511075405</v>
      </c>
      <c r="O23" s="736">
        <f t="shared" ca="1" si="2"/>
        <v>12855.711362448814</v>
      </c>
      <c r="P23" s="736">
        <f t="shared" si="2"/>
        <v>101.61666666666667</v>
      </c>
      <c r="Q23" s="737">
        <f t="shared" si="2"/>
        <v>324.13333333333333</v>
      </c>
      <c r="R23" s="738">
        <f ca="1">R20+R15+R22</f>
        <v>185932.35129761792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1392.4609098571073</v>
      </c>
      <c r="D36" s="719">
        <f ca="1">tertiair!C20</f>
        <v>0</v>
      </c>
      <c r="E36" s="719">
        <f ca="1">tertiair!D20</f>
        <v>1154.628723300892</v>
      </c>
      <c r="F36" s="719">
        <f>tertiair!E20</f>
        <v>15.051519625761451</v>
      </c>
      <c r="G36" s="719">
        <f ca="1">tertiair!F20</f>
        <v>236.25549698998097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2798.396649773742</v>
      </c>
    </row>
    <row r="37" spans="1:18">
      <c r="A37" s="886" t="s">
        <v>225</v>
      </c>
      <c r="B37" s="893"/>
      <c r="C37" s="719">
        <f ca="1">huishoudens!B12</f>
        <v>3503.7551441575747</v>
      </c>
      <c r="D37" s="719">
        <f ca="1">huishoudens!C12</f>
        <v>0</v>
      </c>
      <c r="E37" s="719">
        <f>huishoudens!D12</f>
        <v>5134.0148876029052</v>
      </c>
      <c r="F37" s="719">
        <f>huishoudens!E12</f>
        <v>292.31392131387116</v>
      </c>
      <c r="G37" s="719">
        <f>huishoudens!F12</f>
        <v>3026.6831052784046</v>
      </c>
      <c r="H37" s="719">
        <f>huishoudens!G12</f>
        <v>0</v>
      </c>
      <c r="I37" s="719">
        <f>huishoudens!H12</f>
        <v>0</v>
      </c>
      <c r="J37" s="719">
        <f>huishoudens!I12</f>
        <v>0</v>
      </c>
      <c r="K37" s="719">
        <f>huishoudens!J12</f>
        <v>541.64787156203681</v>
      </c>
      <c r="L37" s="719">
        <f>huishoudens!K12</f>
        <v>0</v>
      </c>
      <c r="M37" s="719">
        <f>huishoudens!L12</f>
        <v>0</v>
      </c>
      <c r="N37" s="719">
        <f>huishoudens!M12</f>
        <v>0</v>
      </c>
      <c r="O37" s="719">
        <f>huishoudens!N12</f>
        <v>0</v>
      </c>
      <c r="P37" s="719">
        <f>huishoudens!O12</f>
        <v>0</v>
      </c>
      <c r="Q37" s="829">
        <f>huishoudens!P12</f>
        <v>0</v>
      </c>
      <c r="R37" s="918">
        <f ca="1">SUM(C37:Q37)</f>
        <v>12498.41492991479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3263.7471199552688</v>
      </c>
      <c r="D39" s="719">
        <f ca="1">industrie!C22</f>
        <v>0</v>
      </c>
      <c r="E39" s="719">
        <f>industrie!D22</f>
        <v>3150.4192363236111</v>
      </c>
      <c r="F39" s="719">
        <f>industrie!E22</f>
        <v>110.1409871172326</v>
      </c>
      <c r="G39" s="719">
        <f>industrie!F22</f>
        <v>5578.555718191401</v>
      </c>
      <c r="H39" s="719">
        <f>industrie!G22</f>
        <v>0</v>
      </c>
      <c r="I39" s="719">
        <f>industrie!H22</f>
        <v>0</v>
      </c>
      <c r="J39" s="719">
        <f>industrie!I22</f>
        <v>0</v>
      </c>
      <c r="K39" s="719">
        <f>industrie!J22</f>
        <v>94.041779173691026</v>
      </c>
      <c r="L39" s="719">
        <f>industrie!K22</f>
        <v>0</v>
      </c>
      <c r="M39" s="719">
        <f>industrie!L22</f>
        <v>0</v>
      </c>
      <c r="N39" s="719">
        <f>industrie!M22</f>
        <v>0</v>
      </c>
      <c r="O39" s="719">
        <f>industrie!N22</f>
        <v>0</v>
      </c>
      <c r="P39" s="719">
        <f>industrie!O22</f>
        <v>0</v>
      </c>
      <c r="Q39" s="829">
        <f>industrie!P22</f>
        <v>0</v>
      </c>
      <c r="R39" s="919">
        <f ca="1">SUM(C39:Q39)</f>
        <v>12196.904840761204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8159.9631739699507</v>
      </c>
      <c r="D41" s="764">
        <f t="shared" ref="D41:R41" ca="1" si="4">SUM(D35:D40)</f>
        <v>0</v>
      </c>
      <c r="E41" s="764">
        <f t="shared" ca="1" si="4"/>
        <v>9439.0628472274075</v>
      </c>
      <c r="F41" s="764">
        <f t="shared" si="4"/>
        <v>417.50642805686522</v>
      </c>
      <c r="G41" s="764">
        <f t="shared" ca="1" si="4"/>
        <v>8841.4943204597876</v>
      </c>
      <c r="H41" s="764">
        <f t="shared" si="4"/>
        <v>0</v>
      </c>
      <c r="I41" s="764">
        <f t="shared" si="4"/>
        <v>0</v>
      </c>
      <c r="J41" s="764">
        <f t="shared" si="4"/>
        <v>0</v>
      </c>
      <c r="K41" s="764">
        <f t="shared" si="4"/>
        <v>635.68965073572781</v>
      </c>
      <c r="L41" s="764">
        <f t="shared" si="4"/>
        <v>0</v>
      </c>
      <c r="M41" s="764">
        <f t="shared" ca="1" si="4"/>
        <v>0</v>
      </c>
      <c r="N41" s="764">
        <f t="shared" si="4"/>
        <v>0</v>
      </c>
      <c r="O41" s="764">
        <f t="shared" ca="1" si="4"/>
        <v>0</v>
      </c>
      <c r="P41" s="764">
        <f t="shared" si="4"/>
        <v>0</v>
      </c>
      <c r="Q41" s="765">
        <f t="shared" si="4"/>
        <v>0</v>
      </c>
      <c r="R41" s="766">
        <f t="shared" ca="1" si="4"/>
        <v>27493.716420449739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176.6658545717417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176.6658545717417</v>
      </c>
    </row>
    <row r="45" spans="1:18" ht="15" thickBot="1">
      <c r="A45" s="889" t="s">
        <v>307</v>
      </c>
      <c r="B45" s="899"/>
      <c r="C45" s="728">
        <f ca="1">transport!B18</f>
        <v>1.3585647301987034</v>
      </c>
      <c r="D45" s="728">
        <f>transport!C18</f>
        <v>0</v>
      </c>
      <c r="E45" s="728">
        <f>transport!D18</f>
        <v>3.9977489107837636</v>
      </c>
      <c r="F45" s="728">
        <f>transport!E18</f>
        <v>27.970005394122367</v>
      </c>
      <c r="G45" s="728">
        <f>transport!F18</f>
        <v>0</v>
      </c>
      <c r="H45" s="728">
        <f>transport!G18</f>
        <v>9039.1002385254687</v>
      </c>
      <c r="I45" s="728">
        <f>transport!H18</f>
        <v>1844.4353371647424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10916.861894725316</v>
      </c>
    </row>
    <row r="46" spans="1:18" ht="15.75" thickBot="1">
      <c r="A46" s="887" t="s">
        <v>230</v>
      </c>
      <c r="B46" s="900"/>
      <c r="C46" s="764">
        <f t="shared" ref="C46:R46" ca="1" si="5">SUM(C43:C45)</f>
        <v>1.3585647301987034</v>
      </c>
      <c r="D46" s="764">
        <f t="shared" ca="1" si="5"/>
        <v>0</v>
      </c>
      <c r="E46" s="764">
        <f t="shared" si="5"/>
        <v>3.9977489107837636</v>
      </c>
      <c r="F46" s="764">
        <f t="shared" si="5"/>
        <v>27.970005394122367</v>
      </c>
      <c r="G46" s="764">
        <f t="shared" si="5"/>
        <v>0</v>
      </c>
      <c r="H46" s="764">
        <f t="shared" si="5"/>
        <v>9215.7660930972106</v>
      </c>
      <c r="I46" s="764">
        <f t="shared" si="5"/>
        <v>1844.4353371647424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11093.527749297058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294.88187168447217</v>
      </c>
      <c r="D48" s="719">
        <f ca="1">+landbouw!C12</f>
        <v>0</v>
      </c>
      <c r="E48" s="719">
        <f>+landbouw!D12</f>
        <v>205.00581296995119</v>
      </c>
      <c r="F48" s="719">
        <f>+landbouw!E12</f>
        <v>2.939675205291159</v>
      </c>
      <c r="G48" s="719">
        <f>+landbouw!F12</f>
        <v>947.13833438860763</v>
      </c>
      <c r="H48" s="719">
        <f>+landbouw!G12</f>
        <v>0</v>
      </c>
      <c r="I48" s="719">
        <f>+landbouw!H12</f>
        <v>0</v>
      </c>
      <c r="J48" s="719">
        <f>+landbouw!I12</f>
        <v>0</v>
      </c>
      <c r="K48" s="719">
        <f>+landbouw!J12</f>
        <v>75.879787923962311</v>
      </c>
      <c r="L48" s="719">
        <f>+landbouw!K12</f>
        <v>0</v>
      </c>
      <c r="M48" s="719">
        <f>+landbouw!L12</f>
        <v>0</v>
      </c>
      <c r="N48" s="719">
        <f>+landbouw!M12</f>
        <v>0</v>
      </c>
      <c r="O48" s="719">
        <f>+landbouw!N12</f>
        <v>0</v>
      </c>
      <c r="P48" s="719">
        <f>+landbouw!O12</f>
        <v>0</v>
      </c>
      <c r="Q48" s="720">
        <f>+landbouw!P12</f>
        <v>0</v>
      </c>
      <c r="R48" s="762">
        <f ca="1">SUM(C48:Q48)</f>
        <v>1525.8454821722844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8456.2036103846222</v>
      </c>
      <c r="D53" s="774">
        <f t="shared" ref="D53:Q53" ca="1" si="6">D41+D46+D48</f>
        <v>0</v>
      </c>
      <c r="E53" s="774">
        <f t="shared" ca="1" si="6"/>
        <v>9648.0664091081435</v>
      </c>
      <c r="F53" s="774">
        <f t="shared" si="6"/>
        <v>448.41610865627877</v>
      </c>
      <c r="G53" s="774">
        <f t="shared" ca="1" si="6"/>
        <v>9788.6326548483958</v>
      </c>
      <c r="H53" s="774">
        <f t="shared" si="6"/>
        <v>9215.7660930972106</v>
      </c>
      <c r="I53" s="774">
        <f t="shared" si="6"/>
        <v>1844.4353371647424</v>
      </c>
      <c r="J53" s="774">
        <f t="shared" si="6"/>
        <v>0</v>
      </c>
      <c r="K53" s="774">
        <f t="shared" si="6"/>
        <v>711.56943865969015</v>
      </c>
      <c r="L53" s="774">
        <f t="shared" si="6"/>
        <v>0</v>
      </c>
      <c r="M53" s="774">
        <f t="shared" ca="1" si="6"/>
        <v>0</v>
      </c>
      <c r="N53" s="774">
        <f t="shared" si="6"/>
        <v>0</v>
      </c>
      <c r="O53" s="774">
        <f t="shared" ca="1" si="6"/>
        <v>0</v>
      </c>
      <c r="P53" s="774">
        <f>P41+P46+P48</f>
        <v>0</v>
      </c>
      <c r="Q53" s="775">
        <f t="shared" si="6"/>
        <v>0</v>
      </c>
      <c r="R53" s="776">
        <f ca="1">R41+R46+R48</f>
        <v>40113.089651919079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0.21091088684251585</v>
      </c>
      <c r="D55" s="837">
        <f t="shared" ca="1" si="7"/>
        <v>0</v>
      </c>
      <c r="E55" s="837">
        <f t="shared" ca="1" si="7"/>
        <v>0.20200000000000001</v>
      </c>
      <c r="F55" s="837">
        <f t="shared" si="7"/>
        <v>0.22700000000000004</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1830.3626832979253</v>
      </c>
      <c r="C66" s="796">
        <f>'lokale energieproductie'!B6</f>
        <v>1830.3626832979253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1830.3626832979253</v>
      </c>
      <c r="C69" s="804">
        <f>SUM(C64:C68)</f>
        <v>1830.3626832979253</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16612.49069031595</v>
      </c>
      <c r="C4" s="479">
        <f>huishoudens!C8</f>
        <v>0</v>
      </c>
      <c r="D4" s="479">
        <f>huishoudens!D8</f>
        <v>25415.915285162897</v>
      </c>
      <c r="E4" s="479">
        <f>huishoudens!E8</f>
        <v>1287.7265256117671</v>
      </c>
      <c r="F4" s="479">
        <f>huishoudens!F8</f>
        <v>11335.891780068931</v>
      </c>
      <c r="G4" s="479">
        <f>huishoudens!G8</f>
        <v>0</v>
      </c>
      <c r="H4" s="479">
        <f>huishoudens!H8</f>
        <v>0</v>
      </c>
      <c r="I4" s="479">
        <f>huishoudens!I8</f>
        <v>0</v>
      </c>
      <c r="J4" s="479">
        <f>huishoudens!J8</f>
        <v>1530.0787332260927</v>
      </c>
      <c r="K4" s="479">
        <f>huishoudens!K8</f>
        <v>0</v>
      </c>
      <c r="L4" s="479">
        <f>huishoudens!L8</f>
        <v>0</v>
      </c>
      <c r="M4" s="479">
        <f>huishoudens!M8</f>
        <v>0</v>
      </c>
      <c r="N4" s="479">
        <f>huishoudens!N8</f>
        <v>5929.8364320712208</v>
      </c>
      <c r="O4" s="479">
        <f>huishoudens!O8</f>
        <v>98.490000000000009</v>
      </c>
      <c r="P4" s="480">
        <f>huishoudens!P8</f>
        <v>324.13333333333333</v>
      </c>
      <c r="Q4" s="481">
        <f>SUM(B4:P4)</f>
        <v>62534.562779790191</v>
      </c>
    </row>
    <row r="5" spans="1:17">
      <c r="A5" s="478" t="s">
        <v>156</v>
      </c>
      <c r="B5" s="479">
        <f ca="1">tertiair!B16</f>
        <v>5982.94913</v>
      </c>
      <c r="C5" s="479">
        <f ca="1">tertiair!C16</f>
        <v>0</v>
      </c>
      <c r="D5" s="479">
        <f ca="1">tertiair!D16</f>
        <v>5715.9837787172864</v>
      </c>
      <c r="E5" s="479">
        <f>tertiair!E16</f>
        <v>66.306253857979954</v>
      </c>
      <c r="F5" s="479">
        <f ca="1">tertiair!F16</f>
        <v>884.85204865161404</v>
      </c>
      <c r="G5" s="479">
        <f>tertiair!G16</f>
        <v>0</v>
      </c>
      <c r="H5" s="479">
        <f>tertiair!H16</f>
        <v>0</v>
      </c>
      <c r="I5" s="479">
        <f>tertiair!I16</f>
        <v>0</v>
      </c>
      <c r="J5" s="479">
        <f>tertiair!J16</f>
        <v>0</v>
      </c>
      <c r="K5" s="479">
        <f>tertiair!K16</f>
        <v>0</v>
      </c>
      <c r="L5" s="479">
        <f ca="1">tertiair!L16</f>
        <v>0</v>
      </c>
      <c r="M5" s="479">
        <f>tertiair!M16</f>
        <v>0</v>
      </c>
      <c r="N5" s="479">
        <f ca="1">tertiair!N16</f>
        <v>460.71141507145211</v>
      </c>
      <c r="O5" s="479">
        <f>tertiair!O16</f>
        <v>3.1266666666666669</v>
      </c>
      <c r="P5" s="480">
        <f>tertiair!P16</f>
        <v>0</v>
      </c>
      <c r="Q5" s="478">
        <f t="shared" ref="Q5:Q13" ca="1" si="0">SUM(B5:P5)</f>
        <v>13113.929292964998</v>
      </c>
    </row>
    <row r="6" spans="1:17">
      <c r="A6" s="478" t="s">
        <v>194</v>
      </c>
      <c r="B6" s="479">
        <f>'openbare verlichting'!B8</f>
        <v>619.17999999999995</v>
      </c>
      <c r="C6" s="479"/>
      <c r="D6" s="479"/>
      <c r="E6" s="479"/>
      <c r="F6" s="479"/>
      <c r="G6" s="479"/>
      <c r="H6" s="479"/>
      <c r="I6" s="479"/>
      <c r="J6" s="479"/>
      <c r="K6" s="479"/>
      <c r="L6" s="479"/>
      <c r="M6" s="479"/>
      <c r="N6" s="479"/>
      <c r="O6" s="479"/>
      <c r="P6" s="480"/>
      <c r="Q6" s="478">
        <f t="shared" si="0"/>
        <v>619.17999999999995</v>
      </c>
    </row>
    <row r="7" spans="1:17">
      <c r="A7" s="478" t="s">
        <v>112</v>
      </c>
      <c r="B7" s="479">
        <f>landbouw!B8</f>
        <v>1398.1349</v>
      </c>
      <c r="C7" s="479">
        <f>landbouw!C8</f>
        <v>0</v>
      </c>
      <c r="D7" s="479">
        <f>landbouw!D8</f>
        <v>1014.8802622274811</v>
      </c>
      <c r="E7" s="479">
        <f>landbouw!E8</f>
        <v>12.950111036524929</v>
      </c>
      <c r="F7" s="479">
        <f>landbouw!F8</f>
        <v>3547.334585725122</v>
      </c>
      <c r="G7" s="479">
        <f>landbouw!G8</f>
        <v>0</v>
      </c>
      <c r="H7" s="479">
        <f>landbouw!H8</f>
        <v>0</v>
      </c>
      <c r="I7" s="479">
        <f>landbouw!I8</f>
        <v>0</v>
      </c>
      <c r="J7" s="479">
        <f>landbouw!J8</f>
        <v>214.3496834010235</v>
      </c>
      <c r="K7" s="479">
        <f>landbouw!K8</f>
        <v>0</v>
      </c>
      <c r="L7" s="479">
        <f>landbouw!L8</f>
        <v>0</v>
      </c>
      <c r="M7" s="479">
        <f>landbouw!M8</f>
        <v>0</v>
      </c>
      <c r="N7" s="479">
        <f>landbouw!N8</f>
        <v>0</v>
      </c>
      <c r="O7" s="479">
        <f>landbouw!O8</f>
        <v>0</v>
      </c>
      <c r="P7" s="480">
        <f>landbouw!P8</f>
        <v>0</v>
      </c>
      <c r="Q7" s="478">
        <f t="shared" si="0"/>
        <v>6187.6495423901524</v>
      </c>
    </row>
    <row r="8" spans="1:17">
      <c r="A8" s="478" t="s">
        <v>650</v>
      </c>
      <c r="B8" s="479">
        <f>industrie!B18</f>
        <v>15474.531299999999</v>
      </c>
      <c r="C8" s="479">
        <f>industrie!C18</f>
        <v>0</v>
      </c>
      <c r="D8" s="479">
        <f>industrie!D18</f>
        <v>15596.134833285203</v>
      </c>
      <c r="E8" s="479">
        <f>industrie!E18</f>
        <v>485.20258641952682</v>
      </c>
      <c r="F8" s="479">
        <f>industrie!F18</f>
        <v>20893.46710933109</v>
      </c>
      <c r="G8" s="479">
        <f>industrie!G18</f>
        <v>0</v>
      </c>
      <c r="H8" s="479">
        <f>industrie!H18</f>
        <v>0</v>
      </c>
      <c r="I8" s="479">
        <f>industrie!I18</f>
        <v>0</v>
      </c>
      <c r="J8" s="479">
        <f>industrie!J18</f>
        <v>265.65474342850575</v>
      </c>
      <c r="K8" s="479">
        <f>industrie!K18</f>
        <v>0</v>
      </c>
      <c r="L8" s="479">
        <f>industrie!L18</f>
        <v>0</v>
      </c>
      <c r="M8" s="479">
        <f>industrie!M18</f>
        <v>0</v>
      </c>
      <c r="N8" s="479">
        <f>industrie!N18</f>
        <v>6465.1635153061407</v>
      </c>
      <c r="O8" s="479">
        <f>industrie!O18</f>
        <v>0</v>
      </c>
      <c r="P8" s="480">
        <f>industrie!P18</f>
        <v>0</v>
      </c>
      <c r="Q8" s="478">
        <f t="shared" si="0"/>
        <v>59180.154087770461</v>
      </c>
    </row>
    <row r="9" spans="1:17" s="484" customFormat="1">
      <c r="A9" s="482" t="s">
        <v>571</v>
      </c>
      <c r="B9" s="483">
        <f>transport!B14</f>
        <v>6.4414158535738588</v>
      </c>
      <c r="C9" s="483">
        <f>transport!C14</f>
        <v>0</v>
      </c>
      <c r="D9" s="483">
        <f>transport!D14</f>
        <v>19.790836191998828</v>
      </c>
      <c r="E9" s="483">
        <f>transport!E14</f>
        <v>123.21588279349061</v>
      </c>
      <c r="F9" s="483">
        <f>transport!F14</f>
        <v>0</v>
      </c>
      <c r="G9" s="483">
        <f>transport!G14</f>
        <v>33854.308009458684</v>
      </c>
      <c r="H9" s="483">
        <f>transport!H14</f>
        <v>7407.3708319869174</v>
      </c>
      <c r="I9" s="483">
        <f>transport!I14</f>
        <v>0</v>
      </c>
      <c r="J9" s="483">
        <f>transport!J14</f>
        <v>0</v>
      </c>
      <c r="K9" s="483">
        <f>transport!K14</f>
        <v>0</v>
      </c>
      <c r="L9" s="483">
        <f>transport!L14</f>
        <v>0</v>
      </c>
      <c r="M9" s="483">
        <f>transport!M14</f>
        <v>2186.3456474467175</v>
      </c>
      <c r="N9" s="483">
        <f>transport!N14</f>
        <v>0</v>
      </c>
      <c r="O9" s="483">
        <f>transport!O14</f>
        <v>0</v>
      </c>
      <c r="P9" s="483">
        <f>transport!P14</f>
        <v>0</v>
      </c>
      <c r="Q9" s="482">
        <f>SUM(B9:P9)</f>
        <v>43597.472623731381</v>
      </c>
    </row>
    <row r="10" spans="1:17">
      <c r="A10" s="478" t="s">
        <v>561</v>
      </c>
      <c r="B10" s="479">
        <f>transport!B54</f>
        <v>0</v>
      </c>
      <c r="C10" s="479">
        <f>transport!C54</f>
        <v>0</v>
      </c>
      <c r="D10" s="479">
        <f>transport!D54</f>
        <v>0</v>
      </c>
      <c r="E10" s="479">
        <f>transport!E54</f>
        <v>0</v>
      </c>
      <c r="F10" s="479">
        <f>transport!F54</f>
        <v>0</v>
      </c>
      <c r="G10" s="479">
        <f>transport!G54</f>
        <v>661.66986730989402</v>
      </c>
      <c r="H10" s="479">
        <f>transport!H54</f>
        <v>0</v>
      </c>
      <c r="I10" s="479">
        <f>transport!I54</f>
        <v>0</v>
      </c>
      <c r="J10" s="479">
        <f>transport!J54</f>
        <v>0</v>
      </c>
      <c r="K10" s="479">
        <f>transport!K54</f>
        <v>0</v>
      </c>
      <c r="L10" s="479">
        <f>transport!L54</f>
        <v>0</v>
      </c>
      <c r="M10" s="479">
        <f>transport!M54</f>
        <v>37.73310366082287</v>
      </c>
      <c r="N10" s="479">
        <f>transport!N54</f>
        <v>0</v>
      </c>
      <c r="O10" s="479">
        <f>transport!O54</f>
        <v>0</v>
      </c>
      <c r="P10" s="480">
        <f>transport!P54</f>
        <v>0</v>
      </c>
      <c r="Q10" s="478">
        <f t="shared" si="0"/>
        <v>699.40297097071686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40093.727436169524</v>
      </c>
      <c r="C14" s="489">
        <f t="shared" ref="C14:Q14" ca="1" si="1">SUM(C4:C13)</f>
        <v>0</v>
      </c>
      <c r="D14" s="489">
        <f t="shared" ca="1" si="1"/>
        <v>47762.704995584863</v>
      </c>
      <c r="E14" s="489">
        <f t="shared" si="1"/>
        <v>1975.4013597192895</v>
      </c>
      <c r="F14" s="489">
        <f t="shared" ca="1" si="1"/>
        <v>36661.54552377676</v>
      </c>
      <c r="G14" s="489">
        <f t="shared" si="1"/>
        <v>34515.977876768578</v>
      </c>
      <c r="H14" s="489">
        <f t="shared" si="1"/>
        <v>7407.3708319869174</v>
      </c>
      <c r="I14" s="489">
        <f t="shared" si="1"/>
        <v>0</v>
      </c>
      <c r="J14" s="489">
        <f t="shared" si="1"/>
        <v>2010.0831600556219</v>
      </c>
      <c r="K14" s="489">
        <f t="shared" si="1"/>
        <v>0</v>
      </c>
      <c r="L14" s="489">
        <f t="shared" ca="1" si="1"/>
        <v>0</v>
      </c>
      <c r="M14" s="489">
        <f t="shared" si="1"/>
        <v>2224.0787511075405</v>
      </c>
      <c r="N14" s="489">
        <f t="shared" ca="1" si="1"/>
        <v>12855.711362448814</v>
      </c>
      <c r="O14" s="489">
        <f t="shared" si="1"/>
        <v>101.61666666666667</v>
      </c>
      <c r="P14" s="490">
        <f t="shared" si="1"/>
        <v>324.13333333333333</v>
      </c>
      <c r="Q14" s="490">
        <f t="shared" ca="1" si="1"/>
        <v>185932.35129761792</v>
      </c>
    </row>
    <row r="16" spans="1:17">
      <c r="A16" s="492" t="s">
        <v>566</v>
      </c>
      <c r="B16" s="842">
        <f ca="1">huishoudens!B10</f>
        <v>0.2109108868425158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3503.7551441575747</v>
      </c>
      <c r="C21" s="479">
        <f t="shared" ref="C21:C30" ca="1" si="3">C4*$C$16</f>
        <v>0</v>
      </c>
      <c r="D21" s="479">
        <f t="shared" ref="D21:D30" si="4">D4*$D$16</f>
        <v>5134.0148876029052</v>
      </c>
      <c r="E21" s="479">
        <f t="shared" ref="E21:E30" si="5">E4*$E$16</f>
        <v>292.31392131387116</v>
      </c>
      <c r="F21" s="479">
        <f t="shared" ref="F21:F30" si="6">F4*$F$16</f>
        <v>3026.6831052784046</v>
      </c>
      <c r="G21" s="479">
        <f t="shared" ref="G21:G30" si="7">G4*$G$16</f>
        <v>0</v>
      </c>
      <c r="H21" s="479">
        <f t="shared" ref="H21:H30" si="8">H4*$H$16</f>
        <v>0</v>
      </c>
      <c r="I21" s="479">
        <f t="shared" ref="I21:I30" si="9">I4*$I$16</f>
        <v>0</v>
      </c>
      <c r="J21" s="479">
        <f t="shared" ref="J21:J30" si="10">J4*$J$16</f>
        <v>541.64787156203681</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12498.41492991479</v>
      </c>
    </row>
    <row r="22" spans="1:17">
      <c r="A22" s="478" t="s">
        <v>156</v>
      </c>
      <c r="B22" s="479">
        <f t="shared" ca="1" si="2"/>
        <v>1261.8691069419583</v>
      </c>
      <c r="C22" s="479">
        <f t="shared" ca="1" si="3"/>
        <v>0</v>
      </c>
      <c r="D22" s="479">
        <f t="shared" ca="1" si="4"/>
        <v>1154.628723300892</v>
      </c>
      <c r="E22" s="479">
        <f t="shared" si="5"/>
        <v>15.051519625761451</v>
      </c>
      <c r="F22" s="479">
        <f t="shared" ca="1" si="6"/>
        <v>236.25549698998097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2667.804846858593</v>
      </c>
    </row>
    <row r="23" spans="1:17">
      <c r="A23" s="478" t="s">
        <v>194</v>
      </c>
      <c r="B23" s="479">
        <f t="shared" ca="1" si="2"/>
        <v>130.59180291514892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130.59180291514892</v>
      </c>
    </row>
    <row r="24" spans="1:17">
      <c r="A24" s="478" t="s">
        <v>112</v>
      </c>
      <c r="B24" s="479">
        <f t="shared" ca="1" si="2"/>
        <v>294.88187168447217</v>
      </c>
      <c r="C24" s="479">
        <f t="shared" ca="1" si="3"/>
        <v>0</v>
      </c>
      <c r="D24" s="479">
        <f t="shared" si="4"/>
        <v>205.00581296995119</v>
      </c>
      <c r="E24" s="479">
        <f t="shared" si="5"/>
        <v>2.939675205291159</v>
      </c>
      <c r="F24" s="479">
        <f t="shared" si="6"/>
        <v>947.13833438860763</v>
      </c>
      <c r="G24" s="479">
        <f t="shared" si="7"/>
        <v>0</v>
      </c>
      <c r="H24" s="479">
        <f t="shared" si="8"/>
        <v>0</v>
      </c>
      <c r="I24" s="479">
        <f t="shared" si="9"/>
        <v>0</v>
      </c>
      <c r="J24" s="479">
        <f t="shared" si="10"/>
        <v>75.879787923962311</v>
      </c>
      <c r="K24" s="479">
        <f t="shared" si="11"/>
        <v>0</v>
      </c>
      <c r="L24" s="479">
        <f t="shared" si="12"/>
        <v>0</v>
      </c>
      <c r="M24" s="479">
        <f t="shared" si="13"/>
        <v>0</v>
      </c>
      <c r="N24" s="479">
        <f t="shared" si="14"/>
        <v>0</v>
      </c>
      <c r="O24" s="479">
        <f t="shared" si="15"/>
        <v>0</v>
      </c>
      <c r="P24" s="480">
        <f t="shared" si="16"/>
        <v>0</v>
      </c>
      <c r="Q24" s="478">
        <f t="shared" ca="1" si="17"/>
        <v>1525.8454821722844</v>
      </c>
    </row>
    <row r="25" spans="1:17">
      <c r="A25" s="478" t="s">
        <v>650</v>
      </c>
      <c r="B25" s="479">
        <f t="shared" ca="1" si="2"/>
        <v>3263.7471199552688</v>
      </c>
      <c r="C25" s="479">
        <f t="shared" ca="1" si="3"/>
        <v>0</v>
      </c>
      <c r="D25" s="479">
        <f t="shared" si="4"/>
        <v>3150.4192363236111</v>
      </c>
      <c r="E25" s="479">
        <f t="shared" si="5"/>
        <v>110.1409871172326</v>
      </c>
      <c r="F25" s="479">
        <f t="shared" si="6"/>
        <v>5578.555718191401</v>
      </c>
      <c r="G25" s="479">
        <f t="shared" si="7"/>
        <v>0</v>
      </c>
      <c r="H25" s="479">
        <f t="shared" si="8"/>
        <v>0</v>
      </c>
      <c r="I25" s="479">
        <f t="shared" si="9"/>
        <v>0</v>
      </c>
      <c r="J25" s="479">
        <f t="shared" si="10"/>
        <v>94.041779173691026</v>
      </c>
      <c r="K25" s="479">
        <f t="shared" si="11"/>
        <v>0</v>
      </c>
      <c r="L25" s="479">
        <f t="shared" si="12"/>
        <v>0</v>
      </c>
      <c r="M25" s="479">
        <f t="shared" si="13"/>
        <v>0</v>
      </c>
      <c r="N25" s="479">
        <f t="shared" si="14"/>
        <v>0</v>
      </c>
      <c r="O25" s="479">
        <f t="shared" si="15"/>
        <v>0</v>
      </c>
      <c r="P25" s="480">
        <f t="shared" si="16"/>
        <v>0</v>
      </c>
      <c r="Q25" s="478">
        <f t="shared" ca="1" si="17"/>
        <v>12196.904840761204</v>
      </c>
    </row>
    <row r="26" spans="1:17" s="484" customFormat="1">
      <c r="A26" s="482" t="s">
        <v>571</v>
      </c>
      <c r="B26" s="836">
        <f t="shared" ca="1" si="2"/>
        <v>1.3585647301987034</v>
      </c>
      <c r="C26" s="483">
        <f t="shared" ca="1" si="3"/>
        <v>0</v>
      </c>
      <c r="D26" s="483">
        <f t="shared" si="4"/>
        <v>3.9977489107837636</v>
      </c>
      <c r="E26" s="483">
        <f t="shared" si="5"/>
        <v>27.970005394122367</v>
      </c>
      <c r="F26" s="483">
        <f t="shared" si="6"/>
        <v>0</v>
      </c>
      <c r="G26" s="483">
        <f t="shared" si="7"/>
        <v>9039.1002385254687</v>
      </c>
      <c r="H26" s="483">
        <f t="shared" si="8"/>
        <v>1844.4353371647424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10916.861894725316</v>
      </c>
    </row>
    <row r="27" spans="1:17">
      <c r="A27" s="478" t="s">
        <v>561</v>
      </c>
      <c r="B27" s="479">
        <f t="shared" ca="1" si="2"/>
        <v>0</v>
      </c>
      <c r="C27" s="479">
        <f t="shared" ca="1" si="3"/>
        <v>0</v>
      </c>
      <c r="D27" s="479">
        <f t="shared" si="4"/>
        <v>0</v>
      </c>
      <c r="E27" s="479">
        <f t="shared" si="5"/>
        <v>0</v>
      </c>
      <c r="F27" s="479">
        <f t="shared" si="6"/>
        <v>0</v>
      </c>
      <c r="G27" s="479">
        <f t="shared" si="7"/>
        <v>176.6658545717417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176.6658545717417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8456.2036103846222</v>
      </c>
      <c r="C31" s="489">
        <f t="shared" ca="1" si="18"/>
        <v>0</v>
      </c>
      <c r="D31" s="489">
        <f t="shared" ca="1" si="18"/>
        <v>9648.0664091081435</v>
      </c>
      <c r="E31" s="489">
        <f t="shared" si="18"/>
        <v>448.41610865627877</v>
      </c>
      <c r="F31" s="489">
        <f t="shared" ca="1" si="18"/>
        <v>9788.6326548483939</v>
      </c>
      <c r="G31" s="489">
        <f t="shared" si="18"/>
        <v>9215.7660930972106</v>
      </c>
      <c r="H31" s="489">
        <f t="shared" si="18"/>
        <v>1844.4353371647424</v>
      </c>
      <c r="I31" s="489">
        <f t="shared" si="18"/>
        <v>0</v>
      </c>
      <c r="J31" s="489">
        <f t="shared" si="18"/>
        <v>711.56943865969015</v>
      </c>
      <c r="K31" s="489">
        <f t="shared" si="18"/>
        <v>0</v>
      </c>
      <c r="L31" s="489">
        <f t="shared" ca="1" si="18"/>
        <v>0</v>
      </c>
      <c r="M31" s="489">
        <f t="shared" si="18"/>
        <v>0</v>
      </c>
      <c r="N31" s="489">
        <f t="shared" ca="1" si="18"/>
        <v>0</v>
      </c>
      <c r="O31" s="489">
        <f t="shared" si="18"/>
        <v>0</v>
      </c>
      <c r="P31" s="490">
        <f t="shared" si="18"/>
        <v>0</v>
      </c>
      <c r="Q31" s="490">
        <f t="shared" ca="1" si="18"/>
        <v>40113.089651919079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0.2109108868425158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0.2109108868425158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0.2109108868425158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2018-06-27T09:37:55Z</dcterms:modified>
</cp:coreProperties>
</file>