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O59"/>
  <c r="C13" i="15" s="1"/>
  <c r="C16" s="1"/>
  <c r="N59" i="18"/>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D6" i="17"/>
  <c r="D8" s="1"/>
  <c r="J15" i="16"/>
  <c r="L16"/>
  <c r="L18" s="1"/>
  <c r="F16"/>
  <c r="D13" i="15"/>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J7" i="48"/>
  <c r="J24" s="1"/>
  <c r="B34" i="13"/>
  <c r="I5" i="48"/>
  <c r="I22" s="1"/>
  <c r="I31" s="1"/>
  <c r="J15" i="14"/>
  <c r="N8" i="17"/>
  <c r="O22" i="14" s="1"/>
  <c r="B35" i="13"/>
  <c r="O22" i="16"/>
  <c r="P39" i="14" s="1"/>
  <c r="O18" i="16"/>
  <c r="P13" i="14" s="1"/>
  <c r="B36" i="13"/>
  <c r="G31" i="20"/>
  <c r="H43" i="14" s="1"/>
  <c r="G12" i="22"/>
  <c r="D18" i="16"/>
  <c r="D22" s="1"/>
  <c r="E39" i="14" s="1"/>
  <c r="F22"/>
  <c r="E8" i="17"/>
  <c r="H13" i="48"/>
  <c r="H30" s="1"/>
  <c r="H12" i="22"/>
  <c r="L8" i="17"/>
  <c r="L12" s="1"/>
  <c r="M48" i="14" s="1"/>
  <c r="M50" i="22"/>
  <c r="M54" s="1"/>
  <c r="M10" i="48" s="1"/>
  <c r="M27" s="1"/>
  <c r="G51" i="22"/>
  <c r="G50" s="1"/>
  <c r="G54" s="1"/>
  <c r="H18" i="14" s="1"/>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C50" i="13"/>
  <c r="J5" s="1"/>
  <c r="J8" s="1"/>
  <c r="E7" i="48"/>
  <c r="E24" s="1"/>
  <c r="E12" i="17"/>
  <c r="F48" i="14" s="1"/>
  <c r="C5" i="48"/>
  <c r="P41" i="14" l="1"/>
  <c r="P53" s="1"/>
  <c r="P55" s="1"/>
  <c r="N7" i="48"/>
  <c r="N24" s="1"/>
  <c r="G14" i="22"/>
  <c r="I14" i="48"/>
  <c r="D8"/>
  <c r="D25" s="1"/>
  <c r="J16" i="15"/>
  <c r="J5" i="48" s="1"/>
  <c r="J22" s="1"/>
  <c r="E20" i="15"/>
  <c r="F36" i="14" s="1"/>
  <c r="E16" i="15"/>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M9" i="48"/>
  <c r="N19" i="14"/>
  <c r="E5" i="48"/>
  <c r="E22" s="1"/>
  <c r="P14"/>
  <c r="F10" i="14"/>
  <c r="B8" i="4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N20" i="14" l="1"/>
  <c r="N23" s="1"/>
  <c r="F18" i="16"/>
  <c r="G13" i="14" s="1"/>
  <c r="G15" s="1"/>
  <c r="G23" s="1"/>
  <c r="M16" i="18"/>
  <c r="M19" s="1"/>
  <c r="K10" i="14"/>
  <c r="R10" s="1"/>
  <c r="J18" i="16"/>
  <c r="J22" s="1"/>
  <c r="K39" i="14" s="1"/>
  <c r="Q7" i="48"/>
  <c r="E8"/>
  <c r="E25" s="1"/>
  <c r="E31" s="1"/>
  <c r="E18" i="16"/>
  <c r="J20" i="15"/>
  <c r="K36" i="14" s="1"/>
  <c r="J9" i="18"/>
  <c r="M7"/>
  <c r="M9" s="1"/>
  <c r="N8" i="48"/>
  <c r="N25" s="1"/>
  <c r="N18" i="16"/>
  <c r="L31" i="48"/>
  <c r="N46" i="14"/>
  <c r="N53" s="1"/>
  <c r="G18" i="22"/>
  <c r="H45" i="14" s="1"/>
  <c r="H46" s="1"/>
  <c r="H53" s="1"/>
  <c r="I19" i="18"/>
  <c r="J19"/>
  <c r="K78" i="14"/>
  <c r="K81" s="1"/>
  <c r="I81"/>
  <c r="O78"/>
  <c r="O81" s="1"/>
  <c r="B17" i="6" s="1"/>
  <c r="E23" i="14"/>
  <c r="D14" i="48"/>
  <c r="K13" i="14"/>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E14" i="48"/>
  <c r="Q4"/>
  <c r="N22"/>
  <c r="N31" s="1"/>
  <c r="N14"/>
  <c r="R11" i="14"/>
  <c r="J21" i="48"/>
  <c r="F8" l="1"/>
  <c r="Q8" s="1"/>
  <c r="Q14" s="1"/>
  <c r="K41" i="14"/>
  <c r="K53" s="1"/>
  <c r="K55" s="1"/>
  <c r="N55"/>
  <c r="K15"/>
  <c r="K23" s="1"/>
  <c r="H55"/>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<sst xmlns="http://schemas.openxmlformats.org/spreadsheetml/2006/main" count="1959" uniqueCount="841">
  <si>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</si>
  <si>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</si>
  <si>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</si>
  <si>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</si>
  <si>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</si>
  <si>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</si>
  <si>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</si>
  <si>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</si>
  <si>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</si>
  <si>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</si>
  <si>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</si>
  <si>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</si>
  <si>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</si>
  <si>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</si>
  <si>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</si>
  <si>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</si>
  <si>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</si>
  <si>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</si>
  <si>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</si>
  <si>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</si>
  <si>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</si>
  <si>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</si>
  <si>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</si>
  <si>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</si>
  <si>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</si>
  <si>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</si>
  <si>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</si>
  <si>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</si>
  <si>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</si>
  <si>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</si>
  <si>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</si>
  <si>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</si>
  <si>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</si>
  <si>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</si>
  <si>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</si>
  <si>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</si>
  <si>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</si>
  <si>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</si>
  <si>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</si>
  <si>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</si>
  <si>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</si>
  <si>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</si>
  <si>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</si>
  <si>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</si>
  <si>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</si>
  <si>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</si>
  <si>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</si>
  <si>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</si>
  <si>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</si>
  <si>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</si>
  <si>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</si>
  <si>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</si>
  <si>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</si>
  <si>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</si>
  <si>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</si>
  <si>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</si>
  <si>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</si>
  <si>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</si>
  <si>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</si>
  <si>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</si>
  <si>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</si>
  <si>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</si>
  <si>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</si>
  <si>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</si>
  <si>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</si>
  <si>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</si>
  <si>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</si>
  <si>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</si>
  <si>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</si>
  <si>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</si>
  <si>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</si>
  <si>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</si>
  <si>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</si>
  <si>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</si>
  <si>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</si>
  <si>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</si>
  <si>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</si>
  <si>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</si>
  <si>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</si>
  <si>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</si>
  <si>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</si>
  <si>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</si>
  <si>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</si>
  <si>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</si>
  <si>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</si>
  <si>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</si>
  <si>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</si>
  <si>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</si>
  <si>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</si>
  <si>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</si>
  <si>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</si>
  <si>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</si>
  <si>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</si>
  <si>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</si>
  <si>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</si>
  <si>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</si>
  <si>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</si>
  <si>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</si>
  <si>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</si>
  <si>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</si>
  <si>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</si>
  <si>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</si>
  <si>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</si>
  <si>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</si>
  <si>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</si>
  <si>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</si>
  <si>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</si>
  <si>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</si>
  <si>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</si>
  <si>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</si>
  <si>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</si>
  <si>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</si>
  <si>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</si>
  <si>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</si>
  <si>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</si>
  <si>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</si>
  <si>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</si>
  <si>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</si>
  <si>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</si>
  <si>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</si>
  <si>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</si>
  <si>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</si>
  <si>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</si>
  <si>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</si>
  <si>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</si>
  <si>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</si>
  <si>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</si>
  <si>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</si>
  <si>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</si>
  <si>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</si>
  <si>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</si>
  <si>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</si>
  <si>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</si>
  <si>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</si>
  <si>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</si>
  <si>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</si>
  <si>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</si>
  <si>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</si>
  <si>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</si>
  <si>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</si>
  <si>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</si>
  <si>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</si>
  <si>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</si>
  <si>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</si>
  <si>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</si>
  <si>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</si>
  <si>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</si>
  <si>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</si>
  <si>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</si>
  <si>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</si>
  <si>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</si>
  <si>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</si>
  <si>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</si>
  <si>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</si>
  <si>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</si>
  <si>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</si>
  <si>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</si>
  <si>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</si>
  <si>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</si>
  <si>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</si>
  <si>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</si>
  <si>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</si>
  <si>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</si>
  <si>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</si>
  <si>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</si>
  <si>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</si>
  <si>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</si>
  <si>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</si>
  <si>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</si>
  <si>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</si>
  <si>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</si>
  <si>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</si>
  <si>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</si>
  <si>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</si>
  <si>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</si>
  <si>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</si>
  <si>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</si>
  <si>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</si>
  <si>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</si>
  <si>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</si>
  <si>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</si>
  <si>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</si>
  <si>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</si>
  <si>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</si>
  <si>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</si>
  <si>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</si>
  <si>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</si>
  <si>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</si>
  <si>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</si>
  <si>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</si>
  <si>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</si>
  <si>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</si>
  <si>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</si>
  <si>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</si>
  <si>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</si>
  <si>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</si>
  <si>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</si>
  <si>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</si>
  <si>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</si>
  <si>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</si>
  <si>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</si>
  <si>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</si>
  <si>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</si>
  <si>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</si>
  <si>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</si>
  <si>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</si>
  <si>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</si>
  <si>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</si>
  <si>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</si>
  <si>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</si>
  <si>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</si>
  <si>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</si>
  <si>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</si>
  <si>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</si>
  <si>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</si>
  <si>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</si>
  <si>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</si>
  <si>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</si>
  <si>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</si>
  <si>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</si>
  <si>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</si>
  <si>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</si>
  <si>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</si>
  <si>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</si>
  <si>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</si>
  <si>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</si>
  <si>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</si>
  <si>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</si>
  <si>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</si>
  <si>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</si>
  <si>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</si>
  <si>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</si>
  <si>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</si>
  <si>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</si>
  <si>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</si>
  <si>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</si>
  <si>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</si>
  <si>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</si>
  <si>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</si>
  <si>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</si>
  <si>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</si>
  <si>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</si>
  <si>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</si>
  <si>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</si>
  <si>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</si>
  <si>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</si>
  <si>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</si>
  <si>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</si>
  <si>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</si>
  <si>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</si>
  <si>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</si>
  <si>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</si>
  <si>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</si>
  <si>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</si>
  <si>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</si>
  <si>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</si>
  <si>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</si>
  <si>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</si>
  <si>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</si>
  <si>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</si>
  <si>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</si>
  <si>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</si>
  <si>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</si>
  <si>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</si>
  <si>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</si>
  <si>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</si>
  <si>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</si>
  <si>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</si>
  <si>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</si>
  <si>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</si>
  <si>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</si>
  <si>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</si>
  <si>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</si>
  <si>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</si>
  <si>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</si>
  <si>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</si>
  <si>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</si>
  <si>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</si>
  <si>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</si>
  <si>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</si>
  <si>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</si>
  <si>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</si>
  <si>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</si>
  <si>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</si>
  <si>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</si>
  <si>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</si>
  <si>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</si>
  <si>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</si>
  <si>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</si>
  <si>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</si>
  <si>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</si>
  <si>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</si>
  <si>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</si>
  <si>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</si>
  <si>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</si>
  <si>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</si>
  <si>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</si>
  <si>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</si>
  <si>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</si>
  <si>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</si>
  <si>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</si>
  <si>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</si>
  <si>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</si>
  <si>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</si>
  <si>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</si>
  <si>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</si>
  <si>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</si>
  <si>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</si>
  <si>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</si>
  <si>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</si>
  <si>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</si>
  <si>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</si>
  <si>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</si>
  <si>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</si>
  <si>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</si>
  <si>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</si>
  <si>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</si>
  <si>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</si>
  <si>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</si>
  <si>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</si>
  <si>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</si>
  <si>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</si>
  <si>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</si>
  <si>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</si>
  <si>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</si>
  <si>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</si>
  <si>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</si>
  <si>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</si>
  <si>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</si>
  <si>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</si>
  <si>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</si>
  <si>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</si>
  <si>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</si>
  <si>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</si>
  <si>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</si>
  <si>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</si>
  <si>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</si>
  <si>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</si>
  <si>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</si>
  <si>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</si>
  <si>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</si>
  <si>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</si>
  <si>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</si>
  <si>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</si>
  <si>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</si>
  <si>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</si>
  <si>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</si>
  <si>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</si>
  <si>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</si>
  <si>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</si>
  <si>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</si>
  <si>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</si>
  <si>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</si>
  <si>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</si>
  <si>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</si>
  <si>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</si>
  <si>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</si>
  <si>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</si>
  <si>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</si>
  <si>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</si>
  <si>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</si>
  <si>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</si>
  <si>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</si>
  <si>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</si>
  <si>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</si>
  <si>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</si>
  <si>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</si>
  <si>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</si>
  <si>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</si>
  <si>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</si>
  <si>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</si>
  <si>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</si>
  <si>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</si>
  <si>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</si>
  <si>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</si>
  <si>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</si>
  <si>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</si>
  <si>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</si>
  <si>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</si>
  <si>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</si>
  <si>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</si>
  <si>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</si>
  <si>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</si>
  <si>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</si>
  <si>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</si>
  <si>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</si>
  <si>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</si>
  <si>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</si>
  <si>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</si>
  <si>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</si>
  <si>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</si>
  <si>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</si>
  <si>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</si>
  <si>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</si>
  <si>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</si>
  <si>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</si>
  <si>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</si>
  <si>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</si>
  <si>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</si>
  <si>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</si>
  <si>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</si>
  <si>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</si>
  <si>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</si>
  <si>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</si>
  <si>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</si>
  <si>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</si>
  <si>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</si>
  <si>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</si>
  <si>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</si>
  <si>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</si>
  <si>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</si>
  <si>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</si>
  <si>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</si>
  <si>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</si>
  <si>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</si>
  <si>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</si>
  <si>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</si>
  <si>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</si>
  <si>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</si>
  <si>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</si>
  <si>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</si>
  <si>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</si>
  <si>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</si>
  <si>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</si>
  <si>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</si>
  <si>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</si>
  <si>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</si>
  <si>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</si>
  <si>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</si>
  <si>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</si>
  <si>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</si>
  <si>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</si>
  <si>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</si>
  <si>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</si>
  <si>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</si>
  <si>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</si>
  <si>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</si>
  <si>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</si>
  <si>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</si>
  <si>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</si>
  <si>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</si>
  <si>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</si>
  <si>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</si>
  <si>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</si>
  <si>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</si>
  <si>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</si>
  <si>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</si>
  <si>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</si>
  <si>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</si>
  <si>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</si>
  <si>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</si>
  <si>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</si>
  <si>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</si>
  <si>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</si>
  <si>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</si>
  <si>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</si>
  <si>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</si>
  <si>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</si>
  <si>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</si>
  <si>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</si>
  <si>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</si>
  <si>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</si>
  <si>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</si>
  <si>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</si>
  <si>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</si>
  <si>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</si>
  <si>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</si>
  <si>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</si>
  <si>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</si>
  <si>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</si>
  <si>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</si>
  <si>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</si>
  <si>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</si>
  <si>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</si>
  <si>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</si>
  <si>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</si>
  <si>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</si>
  <si>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</si>
  <si>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</si>
  <si>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</si>
  <si>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</si>
  <si>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</si>
  <si>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</si>
  <si>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</si>
  <si>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</si>
  <si>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</si>
  <si>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</si>
  <si>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</si>
  <si>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</si>
  <si>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</si>
  <si>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</si>
  <si>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</si>
  <si>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</si>
  <si>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</si>
  <si>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</si>
  <si>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</si>
  <si>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</si>
  <si>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</si>
  <si>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</si>
  <si>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</si>
  <si>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</si>
  <si>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</si>
  <si>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</si>
  <si>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</si>
  <si>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</si>
  <si>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</si>
  <si>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</si>
  <si>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</si>
  <si>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</si>
  <si>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</si>
  <si>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</si>
  <si>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</si>
  <si>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</si>
  <si>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</si>
  <si>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</si>
  <si>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</si>
  <si>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</si>
  <si>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</si>
  <si>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</si>
  <si>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</si>
  <si>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</si>
  <si>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</si>
  <si>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</si>
  <si>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</si>
  <si>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</si>
  <si>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</si>
  <si>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</si>
  <si>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</si>
  <si>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</si>
  <si>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</si>
  <si>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</si>
  <si>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</si>
  <si>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</si>
  <si>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</si>
  <si>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</si>
  <si>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</si>
  <si>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</si>
  <si>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</si>
  <si>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</si>
  <si>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</si>
  <si>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</si>
  <si>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</si>
  <si>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</si>
  <si>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</si>
  <si>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</si>
  <si>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</si>
  <si>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</si>
  <si>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</si>
  <si>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</si>
  <si>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</si>
  <si>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</si>
  <si>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</si>
  <si>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</si>
  <si>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</si>
  <si>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</si>
  <si>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</si>
  <si>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</si>
  <si>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</si>
  <si>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</si>
  <si>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</si>
  <si>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</si>
  <si>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</si>
  <si>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</si>
  <si>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</si>
  <si>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</si>
  <si>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</si>
  <si>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</si>
  <si>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</si>
  <si>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</si>
  <si>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</si>
  <si>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</si>
  <si>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</si>
  <si>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</si>
  <si>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</si>
  <si>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</si>
  <si>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</si>
  <si>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</si>
  <si>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</si>
  <si>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</si>
  <si>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</si>
  <si>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</si>
  <si>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</si>
  <si>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</si>
  <si>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</si>
  <si>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</si>
  <si>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</si>
  <si>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</si>
  <si>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</si>
  <si>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</si>
  <si>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</si>
  <si>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</si>
  <si>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</si>
  <si>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</si>
  <si>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</si>
  <si>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</si>
  <si>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</si>
  <si>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</si>
  <si>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</si>
  <si>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</si>
  <si>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</si>
  <si>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</si>
  <si>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</si>
  <si>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</si>
  <si>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</si>
  <si>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</si>
  <si>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</si>
  <si>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</si>
  <si>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</si>
  <si>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</si>
  <si>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</si>
  <si>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</si>
  <si>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</si>
  <si>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</si>
  <si>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</si>
  <si>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</si>
  <si>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</si>
  <si>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</si>
  <si>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</si>
  <si>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</si>
  <si>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</si>
  <si>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</si>
  <si>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</si>
  <si>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</si>
  <si>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</si>
  <si>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</si>
  <si>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</si>
  <si>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</si>
  <si>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</si>
  <si>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</si>
  <si>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</si>
  <si>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</si>
  <si>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</si>
  <si>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</si>
  <si>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</si>
  <si>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</si>
  <si>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</si>
  <si>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</si>
  <si>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</si>
  <si>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</si>
  <si>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</si>
  <si>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</si>
  <si>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</si>
  <si>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</si>
  <si>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</si>
  <si>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</si>
  <si>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</si>
  <si>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</si>
  <si>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</si>
  <si>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</si>
  <si>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</si>
  <si>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</si>
  <si>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</si>
  <si>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</si>
  <si>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</si>
  <si>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</si>
  <si>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</si>
  <si>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</si>
  <si>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</si>
  <si>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</si>
  <si>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</si>
  <si>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</si>
  <si>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</si>
  <si>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</si>
  <si>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</si>
  <si>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</si>
  <si>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</si>
  <si>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</si>
  <si>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</si>
  <si>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</si>
  <si>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</si>
  <si>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</si>
  <si>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</si>
  <si>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</si>
  <si>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</si>
  <si>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</si>
  <si>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</si>
  <si>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</si>
  <si>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</si>
  <si>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</si>
  <si>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</si>
  <si>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</si>
  <si>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</si>
  <si>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</si>
  <si>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</si>
  <si>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</si>
  <si>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</si>
  <si>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</si>
  <si>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</si>
  <si>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</si>
  <si>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</si>
  <si>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</si>
  <si>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</si>
  <si>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</si>
  <si>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</si>
  <si>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</si>
  <si>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</si>
  <si>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</si>
  <si>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</si>
  <si>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</si>
  <si>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</si>
  <si>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</si>
  <si>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</si>
  <si>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</si>
  <si>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</si>
  <si>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</si>
  <si>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</si>
  <si>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</si>
  <si>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</si>
  <si>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</si>
  <si>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</si>
  <si>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</si>
  <si>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</si>
  <si>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</si>
  <si>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</si>
  <si>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</si>
  <si>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</si>
  <si>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</si>
  <si>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</si>
  <si>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</si>
  <si>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</si>
  <si>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</si>
  <si>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</si>
  <si>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</si>
  <si>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</si>
  <si>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</si>
  <si>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</si>
  <si>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</si>
  <si>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</si>
  <si>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</si>
  <si>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</si>
  <si>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</si>
  <si>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</si>
  <si>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</si>
  <si>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</si>
  <si>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</si>
  <si>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</si>
  <si>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</si>
  <si>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</si>
  <si>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</si>
  <si>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</si>
  <si>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</si>
  <si>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</si>
  <si>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</si>
  <si>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</si>
  <si>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</si>
  <si>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</si>
  <si>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</si>
  <si>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</si>
  <si>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</si>
  <si>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</si>
  <si>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</si>
  <si>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</si>
  <si>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</si>
  <si>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</si>
  <si>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</si>
  <si>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</si>
  <si>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</si>
  <si>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</si>
  <si>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</si>
  <si>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</si>
  <si>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</si>
  <si>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</si>
  <si>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</si>
  <si>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</si>
  <si>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</si>
  <si>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</si>
  <si>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</si>
  <si>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</si>
  <si>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</si>
  <si>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</si>
  <si>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</si>
  <si>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</si>
  <si>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</si>
  <si>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</si>
  <si>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</si>
  <si>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</si>
  <si>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</si>
  <si>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</si>
  <si>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</si>
  <si>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</si>
  <si>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</si>
  <si>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</si>
  <si>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</si>
  <si>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</si>
  <si>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</si>
  <si>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</si>
  <si>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</si>
  <si>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</si>
  <si>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</si>
  <si>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</si>
  <si>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</si>
  <si>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</si>
  <si>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</si>
  <si>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</si>
  <si>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</si>
  <si>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</si>
  <si>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</si>
  <si>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</si>
  <si>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</si>
  <si>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</si>
  <si>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</si>
  <si>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</si>
  <si>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</si>
  <si>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</si>
  <si>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</si>
  <si>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</si>
  <si>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</si>
  <si>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</si>
  <si>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</si>
  <si>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</si>
  <si>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</si>
  <si>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</si>
  <si>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</si>
  <si>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</si>
  <si>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</si>
  <si>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</si>
  <si>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</si>
  <si>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</si>
  <si>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</si>
  <si>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</si>
  <si>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</si>
  <si>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</si>
  <si>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</si>
  <si>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</si>
  <si>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</si>
  <si>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</si>
  <si>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43005</t>
  </si>
  <si>
    <t>EEKLO</t>
  </si>
  <si>
    <t>Paarden&amp;pony's 200 - 600 kg</t>
  </si>
  <si>
    <t>Paarden&amp;pony's &lt; 200 kg</t>
  </si>
  <si>
    <t>referentietaak LNE (2017); Jaarverslag De Lijn (2014)</t>
  </si>
  <si>
    <t>op basis van VEA (maart 2018) en Inventaris Hernieuwbare Energiebronnen (juni 2018)</t>
  </si>
  <si>
    <t>VEA (maart 2016)</t>
  </si>
  <si>
    <t>VEA (juni 2018)</t>
  </si>
  <si>
    <t>Ecopower cvba</t>
  </si>
  <si>
    <t>Posthoflei 3 3, 2600 Berchem</t>
  </si>
  <si>
    <t>BMS-0039 Ecopower Eeklo plantenolie</t>
  </si>
  <si>
    <t>biomassa uit land- of bosbouw</t>
  </si>
  <si>
    <t>niet WKK interne verbrandingsmotor (vloeibaar)</t>
  </si>
  <si>
    <t>Industrielaan 2 , 9900 Eeklo</t>
  </si>
  <si>
    <t>Imewo</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</si>
</sst>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131993.71725905157</c:v>
                </c:pt>
                <c:pt idx="1">
                  <c:v>87848.450006861225</c:v>
                </c:pt>
                <c:pt idx="2">
                  <c:v>1485.8140000000001</c:v>
                </c:pt>
                <c:pt idx="3">
                  <c:v>12061.072128367228</c:v>
                </c:pt>
                <c:pt idx="4">
                  <c:v>104732.95044256067</c:v>
                </c:pt>
                <c:pt idx="5">
                  <c:v>119945.82139025685</c:v>
                </c:pt>
                <c:pt idx="6">
                  <c:v>1393.3206425993014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775168"/>
        <c:axId val="176776704"/>
      </c:barChart>
      <c:catAx>
        <c:axId val="176775168"/>
        <c:scaling>
          <c:orientation val="minMax"/>
        </c:scaling>
        <c:axPos val="b"/>
        <c:numFmt formatCode="General" sourceLinked="0"/>
        <c:tickLblPos val="nextTo"/>
        <c:crossAx val="176776704"/>
        <c:crosses val="autoZero"/>
        <c:auto val="1"/>
        <c:lblAlgn val="ctr"/>
        <c:lblOffset val="100"/>
      </c:catAx>
      <c:valAx>
        <c:axId val="176776704"/>
        <c:scaling>
          <c:orientation val="minMax"/>
        </c:scaling>
        <c:axPos val="l"/>
        <c:majorGridlines/>
        <c:numFmt formatCode="#,##0" sourceLinked="1"/>
        <c:tickLblPos val="nextTo"/>
        <c:crossAx val="1767751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131993.71725905157</c:v>
                </c:pt>
                <c:pt idx="1">
                  <c:v>87848.450006861225</c:v>
                </c:pt>
                <c:pt idx="2">
                  <c:v>1485.8140000000001</c:v>
                </c:pt>
                <c:pt idx="3">
                  <c:v>12061.072128367228</c:v>
                </c:pt>
                <c:pt idx="4">
                  <c:v>104732.95044256067</c:v>
                </c:pt>
                <c:pt idx="5">
                  <c:v>119945.82139025685</c:v>
                </c:pt>
                <c:pt idx="6">
                  <c:v>1393.3206425993014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23571.060237247537</c:v>
                </c:pt>
                <c:pt idx="1">
                  <c:v>16151.81291194207</c:v>
                </c:pt>
                <c:pt idx="2">
                  <c:v>250.01490283045109</c:v>
                </c:pt>
                <c:pt idx="3">
                  <c:v>2782.4339306969682</c:v>
                </c:pt>
                <c:pt idx="4">
                  <c:v>16561.761177511395</c:v>
                </c:pt>
                <c:pt idx="5">
                  <c:v>30092.97952387216</c:v>
                </c:pt>
                <c:pt idx="6">
                  <c:v>351.9461486925253</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187456"/>
        <c:axId val="177213824"/>
      </c:barChart>
      <c:catAx>
        <c:axId val="177187456"/>
        <c:scaling>
          <c:orientation val="minMax"/>
        </c:scaling>
        <c:axPos val="b"/>
        <c:numFmt formatCode="General" sourceLinked="0"/>
        <c:tickLblPos val="nextTo"/>
        <c:crossAx val="177213824"/>
        <c:crosses val="autoZero"/>
        <c:auto val="1"/>
        <c:lblAlgn val="ctr"/>
        <c:lblOffset val="100"/>
      </c:catAx>
      <c:valAx>
        <c:axId val="177213824"/>
        <c:scaling>
          <c:orientation val="minMax"/>
        </c:scaling>
        <c:axPos val="l"/>
        <c:majorGridlines/>
        <c:numFmt formatCode="#,##0" sourceLinked="1"/>
        <c:tickLblPos val="nextTo"/>
        <c:crossAx val="1771874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23571.060237247537</c:v>
                </c:pt>
                <c:pt idx="1">
                  <c:v>16151.81291194207</c:v>
                </c:pt>
                <c:pt idx="2">
                  <c:v>250.01490283045109</c:v>
                </c:pt>
                <c:pt idx="3">
                  <c:v>2782.4339306969682</c:v>
                </c:pt>
                <c:pt idx="4">
                  <c:v>16561.761177511395</c:v>
                </c:pt>
                <c:pt idx="5">
                  <c:v>30092.97952387216</c:v>
                </c:pt>
                <c:pt idx="6">
                  <c:v>351.9461486925253</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43005</v>
      </c>
      <c r="B6" s="416"/>
      <c r="C6" s="417"/>
    </row>
    <row r="7" spans="1:7" s="414" customFormat="1" ht="15.75" customHeight="1">
      <c r="A7" s="418" t="str">
        <f>txtMunicipality</f>
        <v>EEKLO</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43005</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9194</v>
      </c>
      <c r="C9" s="342">
        <v>9763</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1637</v>
      </c>
    </row>
    <row r="15" spans="1:6">
      <c r="A15" s="348" t="s">
        <v>184</v>
      </c>
      <c r="B15" s="334">
        <v>36</v>
      </c>
    </row>
    <row r="16" spans="1:6">
      <c r="A16" s="348" t="s">
        <v>6</v>
      </c>
      <c r="B16" s="334">
        <v>1317</v>
      </c>
    </row>
    <row r="17" spans="1:6">
      <c r="A17" s="348" t="s">
        <v>7</v>
      </c>
      <c r="B17" s="334">
        <v>697</v>
      </c>
    </row>
    <row r="18" spans="1:6">
      <c r="A18" s="348" t="s">
        <v>8</v>
      </c>
      <c r="B18" s="334">
        <v>1018</v>
      </c>
    </row>
    <row r="19" spans="1:6">
      <c r="A19" s="348" t="s">
        <v>9</v>
      </c>
      <c r="B19" s="334">
        <v>923</v>
      </c>
    </row>
    <row r="20" spans="1:6">
      <c r="A20" s="348" t="s">
        <v>10</v>
      </c>
      <c r="B20" s="334">
        <v>647</v>
      </c>
    </row>
    <row r="21" spans="1:6">
      <c r="A21" s="348" t="s">
        <v>11</v>
      </c>
      <c r="B21" s="334">
        <v>11027</v>
      </c>
    </row>
    <row r="22" spans="1:6">
      <c r="A22" s="348" t="s">
        <v>12</v>
      </c>
      <c r="B22" s="334">
        <v>26286</v>
      </c>
    </row>
    <row r="23" spans="1:6">
      <c r="A23" s="348" t="s">
        <v>13</v>
      </c>
      <c r="B23" s="334">
        <v>563</v>
      </c>
    </row>
    <row r="24" spans="1:6">
      <c r="A24" s="348" t="s">
        <v>14</v>
      </c>
      <c r="B24" s="334">
        <v>19</v>
      </c>
    </row>
    <row r="25" spans="1:6">
      <c r="A25" s="348" t="s">
        <v>15</v>
      </c>
      <c r="B25" s="334">
        <v>2451</v>
      </c>
    </row>
    <row r="26" spans="1:6">
      <c r="A26" s="348" t="s">
        <v>16</v>
      </c>
      <c r="B26" s="334">
        <v>532</v>
      </c>
    </row>
    <row r="27" spans="1:6">
      <c r="A27" s="348" t="s">
        <v>17</v>
      </c>
      <c r="B27" s="334">
        <v>0</v>
      </c>
    </row>
    <row r="28" spans="1:6" s="356" customFormat="1">
      <c r="A28" s="355" t="s">
        <v>18</v>
      </c>
      <c r="B28" s="355">
        <v>27333</v>
      </c>
    </row>
    <row r="29" spans="1:6">
      <c r="A29" s="355" t="s">
        <v>828</v>
      </c>
      <c r="B29" s="355">
        <v>74</v>
      </c>
      <c r="C29" s="356"/>
      <c r="D29" s="356"/>
      <c r="E29" s="356"/>
      <c r="F29" s="356"/>
    </row>
    <row r="30" spans="1:6">
      <c r="A30" s="341" t="s">
        <v>829</v>
      </c>
      <c r="B30" s="341">
        <v>7</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5</v>
      </c>
      <c r="F36" s="334">
        <v>21489.49</v>
      </c>
    </row>
    <row r="37" spans="1:6">
      <c r="A37" s="348" t="s">
        <v>25</v>
      </c>
      <c r="B37" s="348" t="s">
        <v>28</v>
      </c>
      <c r="C37" s="334">
        <v>0</v>
      </c>
      <c r="D37" s="334">
        <v>0</v>
      </c>
      <c r="E37" s="334">
        <v>0</v>
      </c>
      <c r="F37" s="334">
        <v>0</v>
      </c>
    </row>
    <row r="38" spans="1:6">
      <c r="A38" s="348" t="s">
        <v>25</v>
      </c>
      <c r="B38" s="348" t="s">
        <v>29</v>
      </c>
      <c r="C38" s="334">
        <v>0</v>
      </c>
      <c r="D38" s="334">
        <v>0</v>
      </c>
      <c r="E38" s="334">
        <v>2</v>
      </c>
      <c r="F38" s="334">
        <v>7547.8019999999997</v>
      </c>
    </row>
    <row r="39" spans="1:6">
      <c r="A39" s="348" t="s">
        <v>30</v>
      </c>
      <c r="B39" s="348" t="s">
        <v>31</v>
      </c>
      <c r="C39" s="334">
        <v>6887</v>
      </c>
      <c r="D39" s="334">
        <v>92523169.665610403</v>
      </c>
      <c r="E39" s="334">
        <v>9020</v>
      </c>
      <c r="F39" s="334">
        <v>33796510</v>
      </c>
    </row>
    <row r="40" spans="1:6">
      <c r="A40" s="348" t="s">
        <v>30</v>
      </c>
      <c r="B40" s="348" t="s">
        <v>29</v>
      </c>
      <c r="C40" s="334">
        <v>0</v>
      </c>
      <c r="D40" s="334">
        <v>0</v>
      </c>
      <c r="E40" s="334">
        <v>0</v>
      </c>
      <c r="F40" s="334">
        <v>0</v>
      </c>
    </row>
    <row r="41" spans="1:6">
      <c r="A41" s="348" t="s">
        <v>32</v>
      </c>
      <c r="B41" s="348" t="s">
        <v>33</v>
      </c>
      <c r="C41" s="334">
        <v>113</v>
      </c>
      <c r="D41" s="334">
        <v>3315676.0711112199</v>
      </c>
      <c r="E41" s="334">
        <v>218</v>
      </c>
      <c r="F41" s="334">
        <v>2762949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10</v>
      </c>
      <c r="D44" s="334">
        <v>4388627.3389436202</v>
      </c>
      <c r="E44" s="334">
        <v>34</v>
      </c>
      <c r="F44" s="334">
        <v>4813762</v>
      </c>
    </row>
    <row r="45" spans="1:6">
      <c r="A45" s="348" t="s">
        <v>32</v>
      </c>
      <c r="B45" s="348" t="s">
        <v>37</v>
      </c>
      <c r="C45" s="334">
        <v>0</v>
      </c>
      <c r="D45" s="334">
        <v>0</v>
      </c>
      <c r="E45" s="334">
        <v>3</v>
      </c>
      <c r="F45" s="334">
        <v>108150.5</v>
      </c>
    </row>
    <row r="46" spans="1:6">
      <c r="A46" s="348" t="s">
        <v>32</v>
      </c>
      <c r="B46" s="348" t="s">
        <v>38</v>
      </c>
      <c r="C46" s="334">
        <v>0</v>
      </c>
      <c r="D46" s="334">
        <v>0</v>
      </c>
      <c r="E46" s="334">
        <v>0</v>
      </c>
      <c r="F46" s="334">
        <v>0</v>
      </c>
    </row>
    <row r="47" spans="1:6">
      <c r="A47" s="348" t="s">
        <v>32</v>
      </c>
      <c r="B47" s="348" t="s">
        <v>39</v>
      </c>
      <c r="C47" s="334">
        <v>3</v>
      </c>
      <c r="D47" s="334">
        <v>66443.535712480996</v>
      </c>
      <c r="E47" s="334">
        <v>8</v>
      </c>
      <c r="F47" s="334">
        <v>28925713</v>
      </c>
    </row>
    <row r="48" spans="1:6">
      <c r="A48" s="348" t="s">
        <v>32</v>
      </c>
      <c r="B48" s="348" t="s">
        <v>29</v>
      </c>
      <c r="C48" s="334">
        <v>37</v>
      </c>
      <c r="D48" s="334">
        <v>11630974.3619157</v>
      </c>
      <c r="E48" s="334">
        <v>47</v>
      </c>
      <c r="F48" s="334">
        <v>17778320</v>
      </c>
    </row>
    <row r="49" spans="1:6">
      <c r="A49" s="348" t="s">
        <v>32</v>
      </c>
      <c r="B49" s="348" t="s">
        <v>40</v>
      </c>
      <c r="C49" s="334">
        <v>0</v>
      </c>
      <c r="D49" s="334">
        <v>0</v>
      </c>
      <c r="E49" s="334">
        <v>3</v>
      </c>
      <c r="F49" s="334">
        <v>8524.4480000000003</v>
      </c>
    </row>
    <row r="50" spans="1:6">
      <c r="A50" s="348" t="s">
        <v>32</v>
      </c>
      <c r="B50" s="348" t="s">
        <v>41</v>
      </c>
      <c r="C50" s="334">
        <v>9</v>
      </c>
      <c r="D50" s="334">
        <v>3761248.8349128799</v>
      </c>
      <c r="E50" s="334">
        <v>14</v>
      </c>
      <c r="F50" s="334">
        <v>764375.9</v>
      </c>
    </row>
    <row r="51" spans="1:6">
      <c r="A51" s="348" t="s">
        <v>42</v>
      </c>
      <c r="B51" s="348" t="s">
        <v>43</v>
      </c>
      <c r="C51" s="334">
        <v>7</v>
      </c>
      <c r="D51" s="334">
        <v>154300.70284269101</v>
      </c>
      <c r="E51" s="334">
        <v>73</v>
      </c>
      <c r="F51" s="334">
        <v>2041437</v>
      </c>
    </row>
    <row r="52" spans="1:6">
      <c r="A52" s="348" t="s">
        <v>42</v>
      </c>
      <c r="B52" s="348" t="s">
        <v>29</v>
      </c>
      <c r="C52" s="334">
        <v>8</v>
      </c>
      <c r="D52" s="334">
        <v>117957.73383025</v>
      </c>
      <c r="E52" s="334">
        <v>11</v>
      </c>
      <c r="F52" s="334">
        <v>195487.1</v>
      </c>
    </row>
    <row r="53" spans="1:6">
      <c r="A53" s="348" t="s">
        <v>44</v>
      </c>
      <c r="B53" s="348" t="s">
        <v>45</v>
      </c>
      <c r="C53" s="334">
        <v>190</v>
      </c>
      <c r="D53" s="334">
        <v>3923950.7611802001</v>
      </c>
      <c r="E53" s="334">
        <v>346</v>
      </c>
      <c r="F53" s="334">
        <v>1316815</v>
      </c>
    </row>
    <row r="54" spans="1:6">
      <c r="A54" s="348" t="s">
        <v>46</v>
      </c>
      <c r="B54" s="348" t="s">
        <v>47</v>
      </c>
      <c r="C54" s="334">
        <v>0</v>
      </c>
      <c r="D54" s="334">
        <v>0</v>
      </c>
      <c r="E54" s="334">
        <v>1</v>
      </c>
      <c r="F54" s="334">
        <v>1485814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66</v>
      </c>
      <c r="D57" s="334">
        <v>7361469.1629577903</v>
      </c>
      <c r="E57" s="334">
        <v>114</v>
      </c>
      <c r="F57" s="334">
        <v>4382709</v>
      </c>
    </row>
    <row r="58" spans="1:6">
      <c r="A58" s="348" t="s">
        <v>49</v>
      </c>
      <c r="B58" s="348" t="s">
        <v>51</v>
      </c>
      <c r="C58" s="334">
        <v>50</v>
      </c>
      <c r="D58" s="334">
        <v>10566141.954585399</v>
      </c>
      <c r="E58" s="334">
        <v>69</v>
      </c>
      <c r="F58" s="334">
        <v>5858721</v>
      </c>
    </row>
    <row r="59" spans="1:6">
      <c r="A59" s="348" t="s">
        <v>49</v>
      </c>
      <c r="B59" s="348" t="s">
        <v>52</v>
      </c>
      <c r="C59" s="334">
        <v>167</v>
      </c>
      <c r="D59" s="334">
        <v>5881938.6402114099</v>
      </c>
      <c r="E59" s="334">
        <v>333</v>
      </c>
      <c r="F59" s="334">
        <v>11138513</v>
      </c>
    </row>
    <row r="60" spans="1:6">
      <c r="A60" s="348" t="s">
        <v>49</v>
      </c>
      <c r="B60" s="348" t="s">
        <v>53</v>
      </c>
      <c r="C60" s="334">
        <v>87</v>
      </c>
      <c r="D60" s="334">
        <v>6345082.3656091103</v>
      </c>
      <c r="E60" s="334">
        <v>104</v>
      </c>
      <c r="F60" s="334">
        <v>2876474</v>
      </c>
    </row>
    <row r="61" spans="1:6">
      <c r="A61" s="348" t="s">
        <v>49</v>
      </c>
      <c r="B61" s="348" t="s">
        <v>54</v>
      </c>
      <c r="C61" s="334">
        <v>218</v>
      </c>
      <c r="D61" s="334">
        <v>8640222.9654709008</v>
      </c>
      <c r="E61" s="334">
        <v>486</v>
      </c>
      <c r="F61" s="334">
        <v>4533555</v>
      </c>
    </row>
    <row r="62" spans="1:6">
      <c r="A62" s="348" t="s">
        <v>49</v>
      </c>
      <c r="B62" s="348" t="s">
        <v>55</v>
      </c>
      <c r="C62" s="334">
        <v>13</v>
      </c>
      <c r="D62" s="334">
        <v>4337976.5494978204</v>
      </c>
      <c r="E62" s="334">
        <v>20</v>
      </c>
      <c r="F62" s="334">
        <v>1203981</v>
      </c>
    </row>
    <row r="63" spans="1:6">
      <c r="A63" s="348" t="s">
        <v>49</v>
      </c>
      <c r="B63" s="348" t="s">
        <v>29</v>
      </c>
      <c r="C63" s="334">
        <v>85</v>
      </c>
      <c r="D63" s="334">
        <v>5249888.1283825599</v>
      </c>
      <c r="E63" s="334">
        <v>105</v>
      </c>
      <c r="F63" s="334">
        <v>4067705</v>
      </c>
    </row>
    <row r="64" spans="1:6">
      <c r="A64" s="348" t="s">
        <v>56</v>
      </c>
      <c r="B64" s="348" t="s">
        <v>57</v>
      </c>
      <c r="C64" s="334">
        <v>0</v>
      </c>
      <c r="D64" s="334">
        <v>0</v>
      </c>
      <c r="E64" s="334">
        <v>0</v>
      </c>
      <c r="F64" s="334">
        <v>0</v>
      </c>
    </row>
    <row r="65" spans="1:6">
      <c r="A65" s="348" t="s">
        <v>56</v>
      </c>
      <c r="B65" s="348" t="s">
        <v>29</v>
      </c>
      <c r="C65" s="334">
        <v>3</v>
      </c>
      <c r="D65" s="334">
        <v>292866.08500706498</v>
      </c>
      <c r="E65" s="334">
        <v>3</v>
      </c>
      <c r="F65" s="334">
        <v>47826.77</v>
      </c>
    </row>
    <row r="66" spans="1:6">
      <c r="A66" s="348" t="s">
        <v>56</v>
      </c>
      <c r="B66" s="348" t="s">
        <v>58</v>
      </c>
      <c r="C66" s="334">
        <v>0</v>
      </c>
      <c r="D66" s="334">
        <v>0</v>
      </c>
      <c r="E66" s="334">
        <v>20</v>
      </c>
      <c r="F66" s="334">
        <v>820288.7</v>
      </c>
    </row>
    <row r="67" spans="1:6">
      <c r="A67" s="355" t="s">
        <v>56</v>
      </c>
      <c r="B67" s="355" t="s">
        <v>59</v>
      </c>
      <c r="C67" s="334">
        <v>0</v>
      </c>
      <c r="D67" s="334">
        <v>0</v>
      </c>
      <c r="E67" s="334">
        <v>0</v>
      </c>
      <c r="F67" s="334">
        <v>0</v>
      </c>
    </row>
    <row r="68" spans="1:6">
      <c r="A68" s="341" t="s">
        <v>56</v>
      </c>
      <c r="B68" s="341" t="s">
        <v>60</v>
      </c>
      <c r="C68" s="334">
        <v>0</v>
      </c>
      <c r="D68" s="334">
        <v>0</v>
      </c>
      <c r="E68" s="334">
        <v>16</v>
      </c>
      <c r="F68" s="334">
        <v>77872.92</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97651748</v>
      </c>
      <c r="E73" s="477">
        <v>107016306.38676333</v>
      </c>
    </row>
    <row r="74" spans="1:6">
      <c r="A74" s="348" t="s">
        <v>64</v>
      </c>
      <c r="B74" s="348" t="s">
        <v>714</v>
      </c>
      <c r="C74" s="1229" t="s">
        <v>716</v>
      </c>
      <c r="D74" s="477">
        <v>15527871.729698783</v>
      </c>
      <c r="E74" s="477">
        <v>16230373.473372994</v>
      </c>
    </row>
    <row r="75" spans="1:6">
      <c r="A75" s="348" t="s">
        <v>65</v>
      </c>
      <c r="B75" s="348" t="s">
        <v>713</v>
      </c>
      <c r="C75" s="1229" t="s">
        <v>717</v>
      </c>
      <c r="D75" s="477">
        <v>17047589</v>
      </c>
      <c r="E75" s="477">
        <v>19239969.328887537</v>
      </c>
    </row>
    <row r="76" spans="1:6">
      <c r="A76" s="348" t="s">
        <v>65</v>
      </c>
      <c r="B76" s="348" t="s">
        <v>714</v>
      </c>
      <c r="C76" s="1229" t="s">
        <v>718</v>
      </c>
      <c r="D76" s="477">
        <v>1472662.729698783</v>
      </c>
      <c r="E76" s="477">
        <v>1554375.2430115517</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372328.5406024339</v>
      </c>
      <c r="C83" s="477">
        <v>377770.40827917913</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26629.49754511752</v>
      </c>
    </row>
    <row r="91" spans="1:6">
      <c r="A91" s="348" t="s">
        <v>68</v>
      </c>
      <c r="B91" s="334">
        <v>2540.2524310891858</v>
      </c>
    </row>
    <row r="92" spans="1:6">
      <c r="A92" s="341" t="s">
        <v>69</v>
      </c>
      <c r="B92" s="342">
        <v>996.49703089468653</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4927</v>
      </c>
    </row>
    <row r="98" spans="1:6">
      <c r="A98" s="348" t="s">
        <v>72</v>
      </c>
      <c r="B98" s="334">
        <v>3</v>
      </c>
    </row>
    <row r="99" spans="1:6">
      <c r="A99" s="348" t="s">
        <v>73</v>
      </c>
      <c r="B99" s="334">
        <v>85</v>
      </c>
    </row>
    <row r="100" spans="1:6">
      <c r="A100" s="348" t="s">
        <v>74</v>
      </c>
      <c r="B100" s="334">
        <v>935</v>
      </c>
    </row>
    <row r="101" spans="1:6">
      <c r="A101" s="348" t="s">
        <v>75</v>
      </c>
      <c r="B101" s="334">
        <v>75</v>
      </c>
    </row>
    <row r="102" spans="1:6">
      <c r="A102" s="348" t="s">
        <v>76</v>
      </c>
      <c r="B102" s="334">
        <v>200</v>
      </c>
    </row>
    <row r="103" spans="1:6">
      <c r="A103" s="348" t="s">
        <v>77</v>
      </c>
      <c r="B103" s="334">
        <v>148</v>
      </c>
    </row>
    <row r="104" spans="1:6">
      <c r="A104" s="348" t="s">
        <v>78</v>
      </c>
      <c r="B104" s="334">
        <v>1641</v>
      </c>
    </row>
    <row r="105" spans="1:6">
      <c r="A105" s="341" t="s">
        <v>79</v>
      </c>
      <c r="B105" s="341">
        <v>5</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22</v>
      </c>
      <c r="C123" s="334">
        <v>14</v>
      </c>
    </row>
    <row r="124" spans="1:6">
      <c r="A124" s="341" t="s">
        <v>89</v>
      </c>
      <c r="B124" s="334">
        <v>2</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93</v>
      </c>
    </row>
    <row r="130" spans="1:6">
      <c r="A130" s="348" t="s">
        <v>295</v>
      </c>
      <c r="B130" s="334">
        <v>2</v>
      </c>
    </row>
    <row r="131" spans="1:6">
      <c r="A131" s="348" t="s">
        <v>296</v>
      </c>
      <c r="B131" s="334">
        <v>7</v>
      </c>
    </row>
    <row r="132" spans="1:6">
      <c r="A132" s="341" t="s">
        <v>297</v>
      </c>
      <c r="B132" s="342">
        <v>6</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130198.67332709234</v>
      </c>
      <c r="C3" s="43" t="s">
        <v>170</v>
      </c>
      <c r="D3" s="43"/>
      <c r="E3" s="154"/>
      <c r="F3" s="43"/>
      <c r="G3" s="43"/>
      <c r="H3" s="43"/>
      <c r="I3" s="43"/>
      <c r="J3" s="43"/>
      <c r="K3" s="96"/>
    </row>
    <row r="4" spans="1:11">
      <c r="A4" s="384" t="s">
        <v>171</v>
      </c>
      <c r="B4" s="49">
        <f>IF(ISERROR('SEAP template'!B69),0,'SEAP template'!B69)</f>
        <v>31066.247007101392</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0.16826796815109502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1485.8140000000001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1485.8140000000001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0.16826796815109502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250.01490283045109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33796.51</v>
      </c>
      <c r="C5" s="17">
        <f>IF(ISERROR('Eigen informatie GS &amp; warmtenet'!B57),0,'Eigen informatie GS &amp; warmtenet'!B57)</f>
        <v>0</v>
      </c>
      <c r="D5" s="30">
        <f>(SUM(HH_hh_gas_kWh,HH_rest_gas_kWh)/1000)*0.902</f>
        <v>83455.899038380579</v>
      </c>
      <c r="E5" s="17">
        <f>B46*B57</f>
        <v>2637.2486697191066</v>
      </c>
      <c r="F5" s="17">
        <f>B51*B62</f>
        <v>0</v>
      </c>
      <c r="G5" s="18"/>
      <c r="H5" s="17"/>
      <c r="I5" s="17"/>
      <c r="J5" s="17">
        <f>B50*B61+C50*C61</f>
        <v>0</v>
      </c>
      <c r="K5" s="17"/>
      <c r="L5" s="17"/>
      <c r="M5" s="17"/>
      <c r="N5" s="17">
        <f>B48*B59+C48*C59</f>
        <v>8824.530453196021</v>
      </c>
      <c r="O5" s="17">
        <f>B69*B70*B71</f>
        <v>167.27666666666667</v>
      </c>
      <c r="P5" s="17">
        <f>B77*B78*B79/1000-B77*B78*B79/1000/B80</f>
        <v>572</v>
      </c>
    </row>
    <row r="6" spans="1:16">
      <c r="A6" s="16" t="s">
        <v>631</v>
      </c>
      <c r="B6" s="844">
        <f>kWh_PV_kleiner_dan_10kW</f>
        <v>2540.2524310891858</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36336.762431089184</v>
      </c>
      <c r="C8" s="21">
        <f>C5</f>
        <v>0</v>
      </c>
      <c r="D8" s="21">
        <f>D5</f>
        <v>83455.899038380579</v>
      </c>
      <c r="E8" s="21">
        <f>E5</f>
        <v>2637.2486697191066</v>
      </c>
      <c r="F8" s="21">
        <f>F5</f>
        <v>0</v>
      </c>
      <c r="G8" s="21"/>
      <c r="H8" s="21"/>
      <c r="I8" s="21"/>
      <c r="J8" s="21">
        <f>J5</f>
        <v>0</v>
      </c>
      <c r="K8" s="21"/>
      <c r="L8" s="21">
        <f>L5</f>
        <v>0</v>
      </c>
      <c r="M8" s="21">
        <f>M5</f>
        <v>0</v>
      </c>
      <c r="N8" s="21">
        <f>N5</f>
        <v>8824.530453196021</v>
      </c>
      <c r="O8" s="21">
        <f>O5</f>
        <v>167.27666666666667</v>
      </c>
      <c r="P8" s="21">
        <f>P5</f>
        <v>572</v>
      </c>
    </row>
    <row r="9" spans="1:16">
      <c r="B9" s="19"/>
      <c r="C9" s="19"/>
      <c r="D9" s="258"/>
      <c r="E9" s="19"/>
      <c r="F9" s="19"/>
      <c r="G9" s="19"/>
      <c r="H9" s="19"/>
      <c r="I9" s="19"/>
      <c r="J9" s="19"/>
      <c r="K9" s="19"/>
      <c r="L9" s="19"/>
      <c r="M9" s="19"/>
      <c r="N9" s="19"/>
      <c r="O9" s="19"/>
      <c r="P9" s="19"/>
    </row>
    <row r="10" spans="1:16">
      <c r="A10" s="24" t="s">
        <v>214</v>
      </c>
      <c r="B10" s="25">
        <f ca="1">'EF ele_warmte'!B12</f>
        <v>0.16826796815109502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6114.3131834684209</v>
      </c>
      <c r="C12" s="23">
        <f ca="1">C10*C8</f>
        <v>0</v>
      </c>
      <c r="D12" s="23">
        <f>D8*D10</f>
        <v>16858.091605752878</v>
      </c>
      <c r="E12" s="23">
        <f>E10*E8</f>
        <v>598.6554480262372</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4927</v>
      </c>
      <c r="C18" s="166" t="s">
        <v>111</v>
      </c>
      <c r="D18" s="228"/>
      <c r="E18" s="15"/>
    </row>
    <row r="19" spans="1:7">
      <c r="A19" s="171" t="s">
        <v>72</v>
      </c>
      <c r="B19" s="37">
        <f>aantalw2001_ander</f>
        <v>3</v>
      </c>
      <c r="C19" s="166" t="s">
        <v>111</v>
      </c>
      <c r="D19" s="229"/>
      <c r="E19" s="15"/>
    </row>
    <row r="20" spans="1:7">
      <c r="A20" s="171" t="s">
        <v>73</v>
      </c>
      <c r="B20" s="37">
        <f>aantalw2001_propaan</f>
        <v>85</v>
      </c>
      <c r="C20" s="167">
        <f>IF(ISERROR(B20/SUM($B$20,$B$21,$B$22)*100),0,B20/SUM($B$20,$B$21,$B$22)*100)</f>
        <v>7.7625570776255701</v>
      </c>
      <c r="D20" s="229"/>
      <c r="E20" s="15"/>
    </row>
    <row r="21" spans="1:7">
      <c r="A21" s="171" t="s">
        <v>74</v>
      </c>
      <c r="B21" s="37">
        <f>aantalw2001_elektriciteit</f>
        <v>935</v>
      </c>
      <c r="C21" s="167">
        <f>IF(ISERROR(B21/SUM($B$20,$B$21,$B$22)*100),0,B21/SUM($B$20,$B$21,$B$22)*100)</f>
        <v>85.388127853881286</v>
      </c>
      <c r="D21" s="229"/>
      <c r="E21" s="15"/>
    </row>
    <row r="22" spans="1:7">
      <c r="A22" s="171" t="s">
        <v>75</v>
      </c>
      <c r="B22" s="37">
        <f>aantalw2001_hout</f>
        <v>75</v>
      </c>
      <c r="C22" s="167">
        <f>IF(ISERROR(B22/SUM($B$20,$B$21,$B$22)*100),0,B22/SUM($B$20,$B$21,$B$22)*100)</f>
        <v>6.8493150684931505</v>
      </c>
      <c r="D22" s="229"/>
      <c r="E22" s="15"/>
    </row>
    <row r="23" spans="1:7">
      <c r="A23" s="171" t="s">
        <v>76</v>
      </c>
      <c r="B23" s="37">
        <f>aantalw2001_niet_gespec</f>
        <v>200</v>
      </c>
      <c r="C23" s="166" t="s">
        <v>111</v>
      </c>
      <c r="D23" s="228"/>
      <c r="E23" s="15"/>
    </row>
    <row r="24" spans="1:7">
      <c r="A24" s="171" t="s">
        <v>77</v>
      </c>
      <c r="B24" s="37">
        <f>aantalw2001_steenkool</f>
        <v>148</v>
      </c>
      <c r="C24" s="166" t="s">
        <v>111</v>
      </c>
      <c r="D24" s="229"/>
      <c r="E24" s="15"/>
    </row>
    <row r="25" spans="1:7">
      <c r="A25" s="171" t="s">
        <v>78</v>
      </c>
      <c r="B25" s="37">
        <f>aantalw2001_stookolie</f>
        <v>1641</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740</v>
      </c>
      <c r="B28" s="37">
        <f>aantalHuishoudens2011</f>
        <v>9194</v>
      </c>
      <c r="C28" s="36"/>
      <c r="D28" s="228"/>
    </row>
    <row r="29" spans="1:7" s="15" customFormat="1">
      <c r="A29" s="230" t="s">
        <v>741</v>
      </c>
      <c r="B29" s="37">
        <f>SUM(HH_hh_gas_aantal,HH_rest_gas_aantal)</f>
        <v>6887</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6887</v>
      </c>
      <c r="C32" s="167">
        <f>IF(ISERROR(B32/SUM($B$32,$B$34,$B$35,$B$36,$B$38,$B$39)*100),0,B32/SUM($B$32,$B$34,$B$35,$B$36,$B$38,$B$39)*100)</f>
        <v>75.152771715408122</v>
      </c>
      <c r="D32" s="233"/>
      <c r="G32" s="15"/>
    </row>
    <row r="33" spans="1:7">
      <c r="A33" s="171" t="s">
        <v>72</v>
      </c>
      <c r="B33" s="34" t="s">
        <v>111</v>
      </c>
      <c r="C33" s="167"/>
      <c r="D33" s="233"/>
      <c r="G33" s="15"/>
    </row>
    <row r="34" spans="1:7">
      <c r="A34" s="171" t="s">
        <v>73</v>
      </c>
      <c r="B34" s="33">
        <f>IF((($B$28-$B$32-$B$39-$B$77-$B$38)*C20/100)&lt;0,0,($B$28-$B$32-$B$39-$B$77-$B$38)*C20/100)</f>
        <v>176.75342465753423</v>
      </c>
      <c r="C34" s="167">
        <f>IF(ISERROR(B34/SUM($B$32,$B$34,$B$35,$B$36,$B$38,$B$39)*100),0,B34/SUM($B$32,$B$34,$B$35,$B$36,$B$38,$B$39)*100)</f>
        <v>1.9287802777993697</v>
      </c>
      <c r="D34" s="233"/>
      <c r="G34" s="15"/>
    </row>
    <row r="35" spans="1:7">
      <c r="A35" s="171" t="s">
        <v>74</v>
      </c>
      <c r="B35" s="33">
        <f>IF((($B$28-$B$32-$B$39-$B$77-$B$38)*C21/100)&lt;0,0,($B$28-$B$32-$B$39-$B$77-$B$38)*C21/100)</f>
        <v>1944.2876712328768</v>
      </c>
      <c r="C35" s="167">
        <f>IF(ISERROR(B35/SUM($B$32,$B$34,$B$35,$B$36,$B$38,$B$39)*100),0,B35/SUM($B$32,$B$34,$B$35,$B$36,$B$38,$B$39)*100)</f>
        <v>21.21658305579307</v>
      </c>
      <c r="D35" s="233"/>
      <c r="G35" s="15"/>
    </row>
    <row r="36" spans="1:7">
      <c r="A36" s="171" t="s">
        <v>75</v>
      </c>
      <c r="B36" s="33">
        <f>IF((($B$28-$B$32-$B$39-$B$77-$B$38)*C22/100)&lt;0,0,($B$28-$B$32-$B$39-$B$77-$B$38)*C22/100)</f>
        <v>155.95890410958904</v>
      </c>
      <c r="C36" s="167">
        <f>IF(ISERROR(B36/SUM($B$32,$B$34,$B$35,$B$36,$B$38,$B$39)*100),0,B36/SUM($B$32,$B$34,$B$35,$B$36,$B$38,$B$39)*100)</f>
        <v>1.7018649509994439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6887</v>
      </c>
      <c r="C44" s="34" t="s">
        <v>111</v>
      </c>
      <c r="D44" s="174"/>
    </row>
    <row r="45" spans="1:7">
      <c r="A45" s="171" t="s">
        <v>72</v>
      </c>
      <c r="B45" s="33" t="str">
        <f t="shared" si="0"/>
        <v>-</v>
      </c>
      <c r="C45" s="34" t="s">
        <v>111</v>
      </c>
      <c r="D45" s="174"/>
    </row>
    <row r="46" spans="1:7">
      <c r="A46" s="171" t="s">
        <v>73</v>
      </c>
      <c r="B46" s="33">
        <f t="shared" si="0"/>
        <v>176.75342465753423</v>
      </c>
      <c r="C46" s="34" t="s">
        <v>111</v>
      </c>
      <c r="D46" s="174"/>
    </row>
    <row r="47" spans="1:7">
      <c r="A47" s="171" t="s">
        <v>74</v>
      </c>
      <c r="B47" s="33">
        <f t="shared" si="0"/>
        <v>1944.2876712328768</v>
      </c>
      <c r="C47" s="34" t="s">
        <v>111</v>
      </c>
      <c r="D47" s="174"/>
    </row>
    <row r="48" spans="1:7">
      <c r="A48" s="171" t="s">
        <v>75</v>
      </c>
      <c r="B48" s="33">
        <f t="shared" si="0"/>
        <v>155.95890410958904</v>
      </c>
      <c r="C48" s="33">
        <f>B48*10</f>
        <v>1559.5890410958905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107</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30</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34061.657999999996</v>
      </c>
      <c r="C5" s="17">
        <f>IF(ISERROR('Eigen informatie GS &amp; warmtenet'!B58),0,'Eigen informatie GS &amp; warmtenet'!B58)</f>
        <v>0</v>
      </c>
      <c r="D5" s="30">
        <f>SUM(D6:D12)</f>
        <v>43641.213229576919</v>
      </c>
      <c r="E5" s="17">
        <f>SUM(E6:E12)</f>
        <v>310.81031800903429</v>
      </c>
      <c r="F5" s="17">
        <f>SUM(F6:F12)</f>
        <v>5179.0514701348584</v>
      </c>
      <c r="G5" s="18"/>
      <c r="H5" s="17"/>
      <c r="I5" s="17"/>
      <c r="J5" s="17">
        <f>SUM(J6:J12)</f>
        <v>0</v>
      </c>
      <c r="K5" s="17"/>
      <c r="L5" s="17"/>
      <c r="M5" s="17"/>
      <c r="N5" s="17">
        <f>SUM(N6:N12)</f>
        <v>3619.1236558070937</v>
      </c>
      <c r="O5" s="17">
        <f>B38*B39*B40</f>
        <v>3.1266666666666669</v>
      </c>
      <c r="P5" s="17">
        <f>B46*B47*B48/1000-B46*B47*B48/1000/B49</f>
        <v>133.46666666666667</v>
      </c>
      <c r="R5" s="32"/>
    </row>
    <row r="6" spans="1:18">
      <c r="A6" s="32" t="s">
        <v>54</v>
      </c>
      <c r="B6" s="37">
        <f>B26</f>
        <v>4533.5550000000003</v>
      </c>
      <c r="C6" s="33"/>
      <c r="D6" s="37">
        <f>IF(ISERROR(TER_kantoor_gas_kWh/1000),0,TER_kantoor_gas_kWh/1000)*0.902</f>
        <v>7793.4811148547524</v>
      </c>
      <c r="E6" s="33">
        <f>$C$26*'E Balans VL '!I12/100/3.6*1000000</f>
        <v>13.134374001834233</v>
      </c>
      <c r="F6" s="33">
        <f>$C$26*('E Balans VL '!L12+'E Balans VL '!N12)/100/3.6*1000000</f>
        <v>513.09854403926738</v>
      </c>
      <c r="G6" s="34"/>
      <c r="H6" s="33"/>
      <c r="I6" s="33"/>
      <c r="J6" s="33">
        <f>$C$26*('E Balans VL '!D12+'E Balans VL '!E12)/100/3.6*1000000</f>
        <v>0</v>
      </c>
      <c r="K6" s="33"/>
      <c r="L6" s="33"/>
      <c r="M6" s="33"/>
      <c r="N6" s="33">
        <f>$C$26*'E Balans VL '!Y12/100/3.6*1000000</f>
        <v>45.377545077528026</v>
      </c>
      <c r="O6" s="33"/>
      <c r="P6" s="33"/>
      <c r="R6" s="32"/>
    </row>
    <row r="7" spans="1:18">
      <c r="A7" s="32" t="s">
        <v>53</v>
      </c>
      <c r="B7" s="37">
        <f t="shared" ref="B7:B12" si="0">B27</f>
        <v>2876.4740000000002</v>
      </c>
      <c r="C7" s="33"/>
      <c r="D7" s="37">
        <f>IF(ISERROR(TER_horeca_gas_kWh/1000),0,TER_horeca_gas_kWh/1000)*0.902</f>
        <v>5723.264293779418</v>
      </c>
      <c r="E7" s="33">
        <f>$C$27*'E Balans VL '!I9/100/3.6*1000000</f>
        <v>120.74634181048022</v>
      </c>
      <c r="F7" s="33">
        <f>$C$27*('E Balans VL '!L9+'E Balans VL '!N9)/100/3.6*1000000</f>
        <v>618.06942655500143</v>
      </c>
      <c r="G7" s="34"/>
      <c r="H7" s="33"/>
      <c r="I7" s="33"/>
      <c r="J7" s="33">
        <f>$C$27*('E Balans VL '!D9+'E Balans VL '!E9)/100/3.6*1000000</f>
        <v>0</v>
      </c>
      <c r="K7" s="33"/>
      <c r="L7" s="33"/>
      <c r="M7" s="33"/>
      <c r="N7" s="33">
        <f>$C$27*'E Balans VL '!Y9/100/3.6*1000000</f>
        <v>0.74124219412228987</v>
      </c>
      <c r="O7" s="33"/>
      <c r="P7" s="33"/>
      <c r="R7" s="32"/>
    </row>
    <row r="8" spans="1:18">
      <c r="A8" s="6" t="s">
        <v>52</v>
      </c>
      <c r="B8" s="37">
        <f t="shared" si="0"/>
        <v>11138.513000000001</v>
      </c>
      <c r="C8" s="33"/>
      <c r="D8" s="37">
        <f>IF(ISERROR(TER_handel_gas_kWh/1000),0,TER_handel_gas_kWh/1000)*0.902</f>
        <v>5305.5086534706916</v>
      </c>
      <c r="E8" s="33">
        <f>$C$28*'E Balans VL '!I13/100/3.6*1000000</f>
        <v>119.63689994084628</v>
      </c>
      <c r="F8" s="33">
        <f>$C$28*('E Balans VL '!L13+'E Balans VL '!N13)/100/3.6*1000000</f>
        <v>1441.9724877942067</v>
      </c>
      <c r="G8" s="34"/>
      <c r="H8" s="33"/>
      <c r="I8" s="33"/>
      <c r="J8" s="33">
        <f>$C$28*('E Balans VL '!D13+'E Balans VL '!E13)/100/3.6*1000000</f>
        <v>0</v>
      </c>
      <c r="K8" s="33"/>
      <c r="L8" s="33"/>
      <c r="M8" s="33"/>
      <c r="N8" s="33">
        <f>$C$28*'E Balans VL '!Y13/100/3.6*1000000</f>
        <v>90.356225645253602</v>
      </c>
      <c r="O8" s="33"/>
      <c r="P8" s="33"/>
      <c r="R8" s="32"/>
    </row>
    <row r="9" spans="1:18">
      <c r="A9" s="32" t="s">
        <v>51</v>
      </c>
      <c r="B9" s="37">
        <f t="shared" si="0"/>
        <v>5858.7209999999995</v>
      </c>
      <c r="C9" s="33"/>
      <c r="D9" s="37">
        <f>IF(ISERROR(TER_gezond_gas_kWh/1000),0,TER_gezond_gas_kWh/1000)*0.902</f>
        <v>9530.6600430360304</v>
      </c>
      <c r="E9" s="33">
        <f>$C$29*'E Balans VL '!I10/100/3.6*1000000</f>
        <v>4.6639208479223937</v>
      </c>
      <c r="F9" s="33">
        <f>$C$29*('E Balans VL '!L10+'E Balans VL '!N10)/100/3.6*1000000</f>
        <v>712.21220369436378</v>
      </c>
      <c r="G9" s="34"/>
      <c r="H9" s="33"/>
      <c r="I9" s="33"/>
      <c r="J9" s="33">
        <f>$C$29*('E Balans VL '!D10+'E Balans VL '!E10)/100/3.6*1000000</f>
        <v>0</v>
      </c>
      <c r="K9" s="33"/>
      <c r="L9" s="33"/>
      <c r="M9" s="33"/>
      <c r="N9" s="33">
        <f>$C$29*'E Balans VL '!Y10/100/3.6*1000000</f>
        <v>47.325196071854108</v>
      </c>
      <c r="O9" s="33"/>
      <c r="P9" s="33"/>
      <c r="R9" s="32"/>
    </row>
    <row r="10" spans="1:18">
      <c r="A10" s="32" t="s">
        <v>50</v>
      </c>
      <c r="B10" s="37">
        <f t="shared" si="0"/>
        <v>4382.7089999999998</v>
      </c>
      <c r="C10" s="33"/>
      <c r="D10" s="37">
        <f>IF(ISERROR(TER_ander_gas_kWh/1000),0,TER_ander_gas_kWh/1000)*0.902</f>
        <v>6640.0451849879264</v>
      </c>
      <c r="E10" s="33">
        <f>$C$30*'E Balans VL '!I14/100/3.6*1000000</f>
        <v>15.019773981017581</v>
      </c>
      <c r="F10" s="33">
        <f>$C$30*('E Balans VL '!L14+'E Balans VL '!N14)/100/3.6*1000000</f>
        <v>978.9190982848919</v>
      </c>
      <c r="G10" s="34"/>
      <c r="H10" s="33"/>
      <c r="I10" s="33"/>
      <c r="J10" s="33">
        <f>$C$30*('E Balans VL '!D14+'E Balans VL '!E14)/100/3.6*1000000</f>
        <v>0</v>
      </c>
      <c r="K10" s="33"/>
      <c r="L10" s="33"/>
      <c r="M10" s="33"/>
      <c r="N10" s="33">
        <f>$C$30*'E Balans VL '!Y14/100/3.6*1000000</f>
        <v>3087.2041618712615</v>
      </c>
      <c r="O10" s="33"/>
      <c r="P10" s="33"/>
      <c r="R10" s="32"/>
    </row>
    <row r="11" spans="1:18">
      <c r="A11" s="32" t="s">
        <v>55</v>
      </c>
      <c r="B11" s="37">
        <f t="shared" si="0"/>
        <v>1203.981</v>
      </c>
      <c r="C11" s="33"/>
      <c r="D11" s="37">
        <f>IF(ISERROR(TER_onderwijs_gas_kWh/1000),0,TER_onderwijs_gas_kWh/1000)*0.902</f>
        <v>3912.8548476470337</v>
      </c>
      <c r="E11" s="33">
        <f>$C$31*'E Balans VL '!I11/100/3.6*1000000</f>
        <v>0.83227498560341828</v>
      </c>
      <c r="F11" s="33">
        <f>$C$31*('E Balans VL '!L11+'E Balans VL '!N11)/100/3.6*1000000</f>
        <v>315.16725252494371</v>
      </c>
      <c r="G11" s="34"/>
      <c r="H11" s="33"/>
      <c r="I11" s="33"/>
      <c r="J11" s="33">
        <f>$C$31*('E Balans VL '!D11+'E Balans VL '!E11)/100/3.6*1000000</f>
        <v>0</v>
      </c>
      <c r="K11" s="33"/>
      <c r="L11" s="33"/>
      <c r="M11" s="33"/>
      <c r="N11" s="33">
        <f>$C$31*'E Balans VL '!Y11/100/3.6*1000000</f>
        <v>1.1984605383979412</v>
      </c>
      <c r="O11" s="33"/>
      <c r="P11" s="33"/>
      <c r="R11" s="32"/>
    </row>
    <row r="12" spans="1:18">
      <c r="A12" s="32" t="s">
        <v>260</v>
      </c>
      <c r="B12" s="37">
        <f t="shared" si="0"/>
        <v>4067.7049999999999</v>
      </c>
      <c r="C12" s="33"/>
      <c r="D12" s="37">
        <f>IF(ISERROR(TER_rest_gas_kWh/1000),0,TER_rest_gas_kWh/1000)*0.902</f>
        <v>4735.3990918010686</v>
      </c>
      <c r="E12" s="33">
        <f>$C$32*'E Balans VL '!I8/100/3.6*1000000</f>
        <v>36.776732441330175</v>
      </c>
      <c r="F12" s="33">
        <f>$C$32*('E Balans VL '!L8+'E Balans VL '!N8)/100/3.6*1000000</f>
        <v>599.61245724218338</v>
      </c>
      <c r="G12" s="34"/>
      <c r="H12" s="33"/>
      <c r="I12" s="33"/>
      <c r="J12" s="33">
        <f>$C$32*('E Balans VL '!D8+'E Balans VL '!E8)/100/3.6*1000000</f>
        <v>0</v>
      </c>
      <c r="K12" s="33"/>
      <c r="L12" s="33"/>
      <c r="M12" s="33"/>
      <c r="N12" s="33">
        <f>$C$32*'E Balans VL '!Y8/100/3.6*1000000</f>
        <v>346.92082440867637</v>
      </c>
      <c r="O12" s="33"/>
      <c r="P12" s="33"/>
      <c r="R12" s="32"/>
    </row>
    <row r="13" spans="1:18">
      <c r="A13" s="16" t="s">
        <v>494</v>
      </c>
      <c r="B13" s="247">
        <f ca="1">'lokale energieproductie'!N90+'lokale energieproductie'!N59</f>
        <v>900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-2250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34961.657999999996</v>
      </c>
      <c r="C16" s="21">
        <f t="shared" ca="1" si="1"/>
        <v>0</v>
      </c>
      <c r="D16" s="21">
        <f t="shared" ca="1" si="1"/>
        <v>43641.213229576919</v>
      </c>
      <c r="E16" s="21">
        <f t="shared" si="1"/>
        <v>310.81031800903429</v>
      </c>
      <c r="F16" s="21">
        <f t="shared" ca="1" si="1"/>
        <v>5179.0514701348584</v>
      </c>
      <c r="G16" s="21">
        <f t="shared" si="1"/>
        <v>0</v>
      </c>
      <c r="H16" s="21">
        <f t="shared" si="1"/>
        <v>0</v>
      </c>
      <c r="I16" s="21">
        <f t="shared" si="1"/>
        <v>0</v>
      </c>
      <c r="J16" s="21">
        <f t="shared" si="1"/>
        <v>0</v>
      </c>
      <c r="K16" s="21">
        <f t="shared" si="1"/>
        <v>0</v>
      </c>
      <c r="L16" s="21">
        <f t="shared" ca="1" si="1"/>
        <v>0</v>
      </c>
      <c r="M16" s="21">
        <f t="shared" si="1"/>
        <v>0</v>
      </c>
      <c r="N16" s="21">
        <f t="shared" ca="1" si="1"/>
        <v>3619.1236558070937</v>
      </c>
      <c r="O16" s="21">
        <f>O5</f>
        <v>3.1266666666666669</v>
      </c>
      <c r="P16" s="21">
        <f>P5</f>
        <v>133.46666666666667</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0.16826796815109502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5882.9271548534753</v>
      </c>
      <c r="C20" s="23">
        <f t="shared" ref="C20:P20" ca="1" si="2">C16*C18</f>
        <v>0</v>
      </c>
      <c r="D20" s="23">
        <f t="shared" ca="1" si="2"/>
        <v>8815.5250723745376</v>
      </c>
      <c r="E20" s="23">
        <f t="shared" si="2"/>
        <v>70.553942188050783</v>
      </c>
      <c r="F20" s="23">
        <f t="shared" ca="1" si="2"/>
        <v>1382.8067425260072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4533.5550000000003</v>
      </c>
      <c r="C26" s="39">
        <f>IF(ISERROR(B26*3.6/1000000/'E Balans VL '!Z12*100),0,B26*3.6/1000000/'E Balans VL '!Z12*100)</f>
        <v>9.9584776889430779E-2</v>
      </c>
      <c r="D26" s="237" t="s">
        <v>692</v>
      </c>
      <c r="F26" s="6"/>
    </row>
    <row r="27" spans="1:18">
      <c r="A27" s="231" t="s">
        <v>53</v>
      </c>
      <c r="B27" s="33">
        <f>IF(ISERROR(TER_horeca_ele_kWh/1000),0,TER_horeca_ele_kWh/1000)</f>
        <v>2876.4740000000002</v>
      </c>
      <c r="C27" s="39">
        <f>IF(ISERROR(B27*3.6/1000000/'E Balans VL '!Z9*100),0,B27*3.6/1000000/'E Balans VL '!Z9*100)</f>
        <v>0.23115335893149153</v>
      </c>
      <c r="D27" s="237" t="s">
        <v>692</v>
      </c>
      <c r="F27" s="6"/>
    </row>
    <row r="28" spans="1:18">
      <c r="A28" s="171" t="s">
        <v>52</v>
      </c>
      <c r="B28" s="33">
        <f>IF(ISERROR(TER_handel_ele_kWh/1000),0,TER_handel_ele_kWh/1000)</f>
        <v>11138.513000000001</v>
      </c>
      <c r="C28" s="39">
        <f>IF(ISERROR(B28*3.6/1000000/'E Balans VL '!Z13*100),0,B28*3.6/1000000/'E Balans VL '!Z13*100)</f>
        <v>0.3293580478814328</v>
      </c>
      <c r="D28" s="237" t="s">
        <v>692</v>
      </c>
      <c r="F28" s="6"/>
    </row>
    <row r="29" spans="1:18">
      <c r="A29" s="231" t="s">
        <v>51</v>
      </c>
      <c r="B29" s="33">
        <f>IF(ISERROR(TER_gezond_ele_kWh/1000),0,TER_gezond_ele_kWh/1000)</f>
        <v>5858.7209999999995</v>
      </c>
      <c r="C29" s="39">
        <f>IF(ISERROR(B29*3.6/1000000/'E Balans VL '!Z10*100),0,B29*3.6/1000000/'E Balans VL '!Z10*100)</f>
        <v>0.66012659785728067</v>
      </c>
      <c r="D29" s="237" t="s">
        <v>692</v>
      </c>
      <c r="F29" s="6"/>
    </row>
    <row r="30" spans="1:18">
      <c r="A30" s="231" t="s">
        <v>50</v>
      </c>
      <c r="B30" s="33">
        <f>IF(ISERROR(TER_ander_ele_kWh/1000),0,TER_ander_ele_kWh/1000)</f>
        <v>4382.7089999999998</v>
      </c>
      <c r="C30" s="39">
        <f>IF(ISERROR(B30*3.6/1000000/'E Balans VL '!Z14*100),0,B30*3.6/1000000/'E Balans VL '!Z14*100)</f>
        <v>0.33145678976737425</v>
      </c>
      <c r="D30" s="237" t="s">
        <v>692</v>
      </c>
      <c r="F30" s="6"/>
    </row>
    <row r="31" spans="1:18">
      <c r="A31" s="231" t="s">
        <v>55</v>
      </c>
      <c r="B31" s="33">
        <f>IF(ISERROR(TER_onderwijs_ele_kWh/1000),0,TER_onderwijs_ele_kWh/1000)</f>
        <v>1203.981</v>
      </c>
      <c r="C31" s="39">
        <f>IF(ISERROR(B31*3.6/1000000/'E Balans VL '!Z11*100),0,B31*3.6/1000000/'E Balans VL '!Z11*100)</f>
        <v>0.24991850638095683</v>
      </c>
      <c r="D31" s="237" t="s">
        <v>692</v>
      </c>
    </row>
    <row r="32" spans="1:18">
      <c r="A32" s="231" t="s">
        <v>260</v>
      </c>
      <c r="B32" s="33">
        <f>IF(ISERROR(TER_rest_ele_kWh/1000),0,TER_rest_ele_kWh/1000)</f>
        <v>4067.7049999999999</v>
      </c>
      <c r="C32" s="39">
        <f>IF(ISERROR(B32*3.6/1000000/'E Balans VL '!Z8*100),0,B32*3.6/1000000/'E Balans VL '!Z8*100)</f>
        <v>3.4268021675184897E-2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7</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55161.794847999998</v>
      </c>
      <c r="C5" s="17">
        <f>IF(ISERROR('Eigen informatie GS &amp; warmtenet'!B59),0,'Eigen informatie GS &amp; warmtenet'!B59)</f>
        <v>0</v>
      </c>
      <c r="D5" s="30">
        <f>SUM(D6:D15)</f>
        <v>20892.999068621502</v>
      </c>
      <c r="E5" s="17">
        <f>SUM(E6:E15)</f>
        <v>1852.6573308842112</v>
      </c>
      <c r="F5" s="17">
        <f>SUM(F6:F15)</f>
        <v>9760.010280392049</v>
      </c>
      <c r="G5" s="18"/>
      <c r="H5" s="17"/>
      <c r="I5" s="17"/>
      <c r="J5" s="17">
        <f>SUM(J6:J15)</f>
        <v>93.040305180668611</v>
      </c>
      <c r="K5" s="17"/>
      <c r="L5" s="17"/>
      <c r="M5" s="17"/>
      <c r="N5" s="17">
        <f>SUM(N6:N15)</f>
        <v>16972.448609482253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4813.7619999999997</v>
      </c>
      <c r="C8" s="33"/>
      <c r="D8" s="37">
        <f>IF( ISERROR(IND_metaal_Gas_kWH/1000),0,IND_metaal_Gas_kWH/1000)*0.902</f>
        <v>3958.5418597271455</v>
      </c>
      <c r="E8" s="33">
        <f>C30*'E Balans VL '!I18/100/3.6*1000000</f>
        <v>120.4716150539407</v>
      </c>
      <c r="F8" s="33">
        <f>C30*'E Balans VL '!L18/100/3.6*1000000+C30*'E Balans VL '!N18/100/3.6*1000000</f>
        <v>1508.6569556836248</v>
      </c>
      <c r="G8" s="34"/>
      <c r="H8" s="33"/>
      <c r="I8" s="33"/>
      <c r="J8" s="40">
        <f>C30*'E Balans VL '!D18/100/3.6*1000000+C30*'E Balans VL '!E18/100/3.6*1000000</f>
        <v>0</v>
      </c>
      <c r="K8" s="33"/>
      <c r="L8" s="33"/>
      <c r="M8" s="33"/>
      <c r="N8" s="33">
        <f>C30*'E Balans VL '!Y18/100/3.6*1000000</f>
        <v>120.9341942417707</v>
      </c>
      <c r="O8" s="33"/>
      <c r="P8" s="33"/>
      <c r="R8" s="32"/>
    </row>
    <row r="9" spans="1:18">
      <c r="A9" s="6" t="s">
        <v>33</v>
      </c>
      <c r="B9" s="37">
        <f t="shared" si="0"/>
        <v>2762.9490000000001</v>
      </c>
      <c r="C9" s="33"/>
      <c r="D9" s="37">
        <f>IF( ISERROR(IND_andere_gas_kWh/1000),0,IND_andere_gas_kWh/1000)*0.902</f>
        <v>2990.7398161423207</v>
      </c>
      <c r="E9" s="33">
        <f>C31*'E Balans VL '!I19/100/3.6*1000000</f>
        <v>759.69765249316094</v>
      </c>
      <c r="F9" s="33">
        <f>C31*'E Balans VL '!L19/100/3.6*1000000+C31*'E Balans VL '!N19/100/3.6*1000000</f>
        <v>2177.6845996455718</v>
      </c>
      <c r="G9" s="34"/>
      <c r="H9" s="33"/>
      <c r="I9" s="33"/>
      <c r="J9" s="40">
        <f>C31*'E Balans VL '!D19/100/3.6*1000000+C31*'E Balans VL '!E19/100/3.6*1000000</f>
        <v>0</v>
      </c>
      <c r="K9" s="33"/>
      <c r="L9" s="33"/>
      <c r="M9" s="33"/>
      <c r="N9" s="33">
        <f>C31*'E Balans VL '!Y19/100/3.6*1000000</f>
        <v>894.43952094961458</v>
      </c>
      <c r="O9" s="33"/>
      <c r="P9" s="33"/>
      <c r="R9" s="32"/>
    </row>
    <row r="10" spans="1:18">
      <c r="A10" s="6" t="s">
        <v>41</v>
      </c>
      <c r="B10" s="37">
        <f t="shared" si="0"/>
        <v>764.3759</v>
      </c>
      <c r="C10" s="33"/>
      <c r="D10" s="37">
        <f>IF( ISERROR(IND_voed_gas_kWh/1000),0,IND_voed_gas_kWh/1000)*0.902</f>
        <v>3392.6464490914177</v>
      </c>
      <c r="E10" s="33">
        <f>C32*'E Balans VL '!I20/100/3.6*1000000</f>
        <v>7.7923912034139002</v>
      </c>
      <c r="F10" s="33">
        <f>C32*'E Balans VL '!L20/100/3.6*1000000+C32*'E Balans VL '!N20/100/3.6*1000000</f>
        <v>1443.9012943902317</v>
      </c>
      <c r="G10" s="34"/>
      <c r="H10" s="33"/>
      <c r="I10" s="33"/>
      <c r="J10" s="40">
        <f>C32*'E Balans VL '!D20/100/3.6*1000000+C32*'E Balans VL '!E20/100/3.6*1000000</f>
        <v>18.294016336268044</v>
      </c>
      <c r="K10" s="33"/>
      <c r="L10" s="33"/>
      <c r="M10" s="33"/>
      <c r="N10" s="33">
        <f>C32*'E Balans VL '!Y20/100/3.6*1000000</f>
        <v>402.91414460725048</v>
      </c>
      <c r="O10" s="33"/>
      <c r="P10" s="33"/>
      <c r="R10" s="32"/>
    </row>
    <row r="11" spans="1:18">
      <c r="A11" s="6" t="s">
        <v>40</v>
      </c>
      <c r="B11" s="37">
        <f t="shared" si="0"/>
        <v>8.5244479999999996</v>
      </c>
      <c r="C11" s="33"/>
      <c r="D11" s="37">
        <f>IF( ISERROR(IND_textiel_gas_kWh/1000),0,IND_textiel_gas_kWh/1000)*0.902</f>
        <v>0</v>
      </c>
      <c r="E11" s="33">
        <f>C33*'E Balans VL '!I21/100/3.6*1000000</f>
        <v>2.2593957509160229E-2</v>
      </c>
      <c r="F11" s="33">
        <f>C33*'E Balans VL '!L21/100/3.6*1000000+C33*'E Balans VL '!N21/100/3.6*1000000</f>
        <v>0.38071064130290255</v>
      </c>
      <c r="G11" s="34"/>
      <c r="H11" s="33"/>
      <c r="I11" s="33"/>
      <c r="J11" s="40">
        <f>C33*'E Balans VL '!D21/100/3.6*1000000+C33*'E Balans VL '!E21/100/3.6*1000000</f>
        <v>0</v>
      </c>
      <c r="K11" s="33"/>
      <c r="L11" s="33"/>
      <c r="M11" s="33"/>
      <c r="N11" s="33">
        <f>C33*'E Balans VL '!Y21/100/3.6*1000000</f>
        <v>8.0336828765599416E-2</v>
      </c>
      <c r="O11" s="33"/>
      <c r="P11" s="33"/>
      <c r="R11" s="32"/>
    </row>
    <row r="12" spans="1:18">
      <c r="A12" s="6" t="s">
        <v>37</v>
      </c>
      <c r="B12" s="37">
        <f t="shared" si="0"/>
        <v>108.15049999999999</v>
      </c>
      <c r="C12" s="33"/>
      <c r="D12" s="37">
        <f>IF( ISERROR(IND_min_gas_kWh/1000),0,IND_min_gas_kWh/1000)*0.902</f>
        <v>0</v>
      </c>
      <c r="E12" s="33">
        <f>C34*'E Balans VL '!I22/100/3.6*1000000</f>
        <v>0.32753894230413361</v>
      </c>
      <c r="F12" s="33">
        <f>C34*'E Balans VL '!L22/100/3.6*1000000+C34*'E Balans VL '!N22/100/3.6*1000000</f>
        <v>3.3797961058896231</v>
      </c>
      <c r="G12" s="34"/>
      <c r="H12" s="33"/>
      <c r="I12" s="33"/>
      <c r="J12" s="40">
        <f>C34*'E Balans VL '!D22/100/3.6*1000000+C34*'E Balans VL '!E22/100/3.6*1000000</f>
        <v>0.16036318332611799</v>
      </c>
      <c r="K12" s="33"/>
      <c r="L12" s="33"/>
      <c r="M12" s="33"/>
      <c r="N12" s="33">
        <f>C34*'E Balans VL '!Y22/100/3.6*1000000</f>
        <v>0</v>
      </c>
      <c r="O12" s="33"/>
      <c r="P12" s="33"/>
      <c r="R12" s="32"/>
    </row>
    <row r="13" spans="1:18">
      <c r="A13" s="6" t="s">
        <v>39</v>
      </c>
      <c r="B13" s="37">
        <f t="shared" si="0"/>
        <v>28925.713</v>
      </c>
      <c r="C13" s="33"/>
      <c r="D13" s="37">
        <f>IF( ISERROR(IND_papier_gas_kWh/1000),0,IND_papier_gas_kWh/1000)*0.902</f>
        <v>59.932069212657858</v>
      </c>
      <c r="E13" s="33">
        <f>C35*'E Balans VL '!I23/100/3.6*1000000</f>
        <v>59.907104061613609</v>
      </c>
      <c r="F13" s="33">
        <f>C35*'E Balans VL '!L23/100/3.6*1000000+C35*'E Balans VL '!N23/100/3.6*1000000</f>
        <v>573.65890058992568</v>
      </c>
      <c r="G13" s="34"/>
      <c r="H13" s="33"/>
      <c r="I13" s="33"/>
      <c r="J13" s="40">
        <f>C35*'E Balans VL '!D23/100/3.6*1000000+C35*'E Balans VL '!E23/100/3.6*1000000</f>
        <v>0</v>
      </c>
      <c r="K13" s="33"/>
      <c r="L13" s="33"/>
      <c r="M13" s="33"/>
      <c r="N13" s="33">
        <f>C35*'E Balans VL '!Y23/100/3.6*1000000</f>
        <v>12213.820667199298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17778.32</v>
      </c>
      <c r="C15" s="33"/>
      <c r="D15" s="37">
        <f>IF( ISERROR(IND_rest_gas_kWh/1000),0,IND_rest_gas_kWh/1000)*0.902</f>
        <v>10491.138874447961</v>
      </c>
      <c r="E15" s="33">
        <f>C37*'E Balans VL '!I15/100/3.6*1000000</f>
        <v>904.43843517226878</v>
      </c>
      <c r="F15" s="33">
        <f>C37*'E Balans VL '!L15/100/3.6*1000000+C37*'E Balans VL '!N15/100/3.6*1000000</f>
        <v>4052.3480233355021</v>
      </c>
      <c r="G15" s="34"/>
      <c r="H15" s="33"/>
      <c r="I15" s="33"/>
      <c r="J15" s="40">
        <f>C37*'E Balans VL '!D15/100/3.6*1000000+C37*'E Balans VL '!E15/100/3.6*1000000</f>
        <v>74.585925661074441</v>
      </c>
      <c r="K15" s="33"/>
      <c r="L15" s="33"/>
      <c r="M15" s="33"/>
      <c r="N15" s="33">
        <f>C37*'E Balans VL '!Y15/100/3.6*1000000</f>
        <v>3340.2597456555554</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55161.794847999998</v>
      </c>
      <c r="C18" s="21">
        <f>C5+C16</f>
        <v>0</v>
      </c>
      <c r="D18" s="21">
        <f>MAX((D5+D16),0)</f>
        <v>20892.999068621502</v>
      </c>
      <c r="E18" s="21">
        <f>MAX((E5+E16),0)</f>
        <v>1852.6573308842112</v>
      </c>
      <c r="F18" s="21">
        <f>MAX((F5+F16),0)</f>
        <v>9760.010280392049</v>
      </c>
      <c r="G18" s="21"/>
      <c r="H18" s="21"/>
      <c r="I18" s="21"/>
      <c r="J18" s="21">
        <f>MAX((J5+J16),0)</f>
        <v>93.040305180668611</v>
      </c>
      <c r="K18" s="21"/>
      <c r="L18" s="21">
        <f>MAX((L5+L16),0)</f>
        <v>0</v>
      </c>
      <c r="M18" s="21"/>
      <c r="N18" s="21">
        <f>MAX((N5+N16),0)</f>
        <v>16972.448609482253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0.16826796815109502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9281.9631386404999</v>
      </c>
      <c r="C22" s="23">
        <f ca="1">C18*C20</f>
        <v>0</v>
      </c>
      <c r="D22" s="23">
        <f>D18*D20</f>
        <v>4220.3858118615435</v>
      </c>
      <c r="E22" s="23">
        <f>E18*E20</f>
        <v>420.55321411071594</v>
      </c>
      <c r="F22" s="23">
        <f>F18*F20</f>
        <v>2605.922744864677</v>
      </c>
      <c r="G22" s="23"/>
      <c r="H22" s="23"/>
      <c r="I22" s="23"/>
      <c r="J22" s="23">
        <f>J18*J20</f>
        <v>32.936268033956686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4813.7619999999997</v>
      </c>
      <c r="C30" s="39">
        <f>IF(ISERROR(B30*3.6/1000000/'E Balans VL '!Z18*100),0,B30*3.6/1000000/'E Balans VL '!Z18*100)</f>
        <v>0.67376625960913694</v>
      </c>
      <c r="D30" s="237" t="s">
        <v>692</v>
      </c>
    </row>
    <row r="31" spans="1:18">
      <c r="A31" s="6" t="s">
        <v>33</v>
      </c>
      <c r="B31" s="37">
        <f>IF( ISERROR(IND_ander_ele_kWh/1000),0,IND_ander_ele_kWh/1000)</f>
        <v>2762.9490000000001</v>
      </c>
      <c r="C31" s="39">
        <f>IF(ISERROR(B31*3.6/1000000/'E Balans VL '!Z19*100),0,B31*3.6/1000000/'E Balans VL '!Z19*100)</f>
        <v>0.12093382951599248</v>
      </c>
      <c r="D31" s="237" t="s">
        <v>692</v>
      </c>
    </row>
    <row r="32" spans="1:18">
      <c r="A32" s="171" t="s">
        <v>41</v>
      </c>
      <c r="B32" s="37">
        <f>IF( ISERROR(IND_voed_ele_kWh/1000),0,IND_voed_ele_kWh/1000)</f>
        <v>764.3759</v>
      </c>
      <c r="C32" s="39">
        <f>IF(ISERROR(B32*3.6/1000000/'E Balans VL '!Z20*100),0,B32*3.6/1000000/'E Balans VL '!Z20*100)</f>
        <v>0.1892340891684228</v>
      </c>
      <c r="D32" s="237" t="s">
        <v>692</v>
      </c>
    </row>
    <row r="33" spans="1:5">
      <c r="A33" s="171" t="s">
        <v>40</v>
      </c>
      <c r="B33" s="37">
        <f>IF( ISERROR(IND_textiel_ele_kWh/1000),0,IND_textiel_ele_kWh/1000)</f>
        <v>8.5244479999999996</v>
      </c>
      <c r="C33" s="39">
        <f>IF(ISERROR(B33*3.6/1000000/'E Balans VL '!Z21*100),0,B33*3.6/1000000/'E Balans VL '!Z21*100)</f>
        <v>9.605551300650569E-4</v>
      </c>
      <c r="D33" s="237" t="s">
        <v>692</v>
      </c>
    </row>
    <row r="34" spans="1:5">
      <c r="A34" s="171" t="s">
        <v>37</v>
      </c>
      <c r="B34" s="37">
        <f>IF( ISERROR(IND_min_ele_kWh/1000),0,IND_min_ele_kWh/1000)</f>
        <v>108.15049999999999</v>
      </c>
      <c r="C34" s="39">
        <f>IF(ISERROR(B34*3.6/1000000/'E Balans VL '!Z22*100),0,B34*3.6/1000000/'E Balans VL '!Z22*100)</f>
        <v>3.0688699596736831E-3</v>
      </c>
      <c r="D34" s="237" t="s">
        <v>692</v>
      </c>
    </row>
    <row r="35" spans="1:5">
      <c r="A35" s="171" t="s">
        <v>39</v>
      </c>
      <c r="B35" s="37">
        <f>IF( ISERROR(IND_papier_ele_kWh/1000),0,IND_papier_ele_kWh/1000)</f>
        <v>28925.713</v>
      </c>
      <c r="C35" s="39">
        <f>IF(ISERROR(B35*3.6/1000000/'E Balans VL '!Z22*100),0,B35*3.6/1000000/'E Balans VL '!Z22*100)</f>
        <v>0.82079372437337361</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17778.32</v>
      </c>
      <c r="C37" s="39">
        <f>IF(ISERROR(B37*3.6/1000000/'E Balans VL '!Z15*100),0,B37*3.6/1000000/'E Balans VL '!Z15*100)</f>
        <v>0.13182319902281417</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2236.9241000000002</v>
      </c>
      <c r="C5" s="17">
        <f>'Eigen informatie GS &amp; warmtenet'!B60</f>
        <v>0</v>
      </c>
      <c r="D5" s="30">
        <f>IF(ISERROR(SUM(LB_lb_gas_kWh,LB_rest_gas_kWh,onbekend_gas_kWh)/1000),0,SUM(LB_lb_gas_kWh,LB_rest_gas_kWh,onbekend_gas_kWh)/1000)*0.902</f>
        <v>3784.9806964635341</v>
      </c>
      <c r="E5" s="17">
        <f>B17*'E Balans VL '!I25/3.6*1000000/100</f>
        <v>20.719327924135641</v>
      </c>
      <c r="F5" s="17">
        <f>B17*('E Balans VL '!L25/3.6*1000000+'E Balans VL '!N25/3.6*1000000)/100</f>
        <v>5675.5025753037435</v>
      </c>
      <c r="G5" s="18"/>
      <c r="H5" s="17"/>
      <c r="I5" s="17"/>
      <c r="J5" s="17">
        <f>('E Balans VL '!D25+'E Balans VL '!E25)/3.6*1000000*landbouw!B17/100</f>
        <v>342.94542867581623</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2236.9241000000002</v>
      </c>
      <c r="C8" s="21">
        <f>C5+C6</f>
        <v>0</v>
      </c>
      <c r="D8" s="21">
        <f>MAX((D5+D6),0)</f>
        <v>3784.9806964635341</v>
      </c>
      <c r="E8" s="21">
        <f>MAX((E5+E6),0)</f>
        <v>20.719327924135641</v>
      </c>
      <c r="F8" s="21">
        <f>MAX((F5+F6),0)</f>
        <v>5675.5025753037435</v>
      </c>
      <c r="G8" s="21"/>
      <c r="H8" s="21"/>
      <c r="I8" s="21"/>
      <c r="J8" s="21">
        <f>MAX((J5+J6),0)</f>
        <v>342.94542867581623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0.16826796815109502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376.40267321521691</v>
      </c>
      <c r="C12" s="23">
        <f ca="1">C8*C10</f>
        <v>0</v>
      </c>
      <c r="D12" s="23">
        <f>D8*D10</f>
        <v>764.56610068563396</v>
      </c>
      <c r="E12" s="23">
        <f>E8*E10</f>
        <v>4.7032874387787906</v>
      </c>
      <c r="F12" s="23">
        <f>F8*F10</f>
        <v>1515.3591876060996</v>
      </c>
      <c r="G12" s="23"/>
      <c r="H12" s="23"/>
      <c r="I12" s="23"/>
      <c r="J12" s="23">
        <f>J8*J10</f>
        <v>121.40268175123894</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0.31804317603067761</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427.50133154092157</v>
      </c>
      <c r="C26" s="247">
        <f>B26*'GWP N2O_CH4'!B5</f>
        <v>8977.5279623593524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242.01013304293576</v>
      </c>
      <c r="C27" s="247">
        <f>B27*'GWP N2O_CH4'!B5</f>
        <v>5082.2127939016509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5.5126128646038586</v>
      </c>
      <c r="C28" s="247">
        <f>B28*'GWP N2O_CH4'!B4</f>
        <v>1708.9099880271961</v>
      </c>
      <c r="D28" s="50"/>
    </row>
    <row r="29" spans="1:4">
      <c r="A29" s="41" t="s">
        <v>277</v>
      </c>
      <c r="B29" s="247">
        <f>B34*'ha_N2O bodem landbouw'!B4</f>
        <v>10.836591560603813</v>
      </c>
      <c r="C29" s="247">
        <f>B29*'GWP N2O_CH4'!B4</f>
        <v>3359.3433837871821</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2.4304565754465985E-3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5.6591812811367502E-5</v>
      </c>
      <c r="C5" s="464" t="s">
        <v>211</v>
      </c>
      <c r="D5" s="449">
        <f>SUM(D6:D11)</f>
        <v>1.458590169251306E-4</v>
      </c>
      <c r="E5" s="449">
        <f>SUM(E6:E11)</f>
        <v>9.324691962545185E-4</v>
      </c>
      <c r="F5" s="462" t="s">
        <v>211</v>
      </c>
      <c r="G5" s="449">
        <f>SUM(G6:G11)</f>
        <v>0.35329624870738902</v>
      </c>
      <c r="H5" s="449">
        <f>SUM(H6:H11)</f>
        <v>5.5236832380491971E-2</v>
      </c>
      <c r="I5" s="464" t="s">
        <v>211</v>
      </c>
      <c r="J5" s="464" t="s">
        <v>211</v>
      </c>
      <c r="K5" s="464" t="s">
        <v>211</v>
      </c>
      <c r="L5" s="464" t="s">
        <v>211</v>
      </c>
      <c r="M5" s="449">
        <f>SUM(M6:M11)</f>
        <v>2.2136955891052724E-2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4.8180657256273687E-5</v>
      </c>
      <c r="C6" s="450"/>
      <c r="D6" s="963">
        <f>vkm_2011_GW_PW*SUMIFS(TableVerdeelsleutelVkm[CNG],TableVerdeelsleutelVkm[Voertuigtype],"Lichte voertuigen")*SUMIFS(TableECFTransport[EnergieConsumptieFactor (PJ per km)],TableECFTransport[Index],CONCATENATE($A6,"_CNG_CNG"))</f>
        <v>1.1144716470438889E-4</v>
      </c>
      <c r="E6" s="963">
        <f>vkm_2011_GW_PW*SUMIFS(TableVerdeelsleutelVkm[LPG],TableVerdeelsleutelVkm[Voertuigtype],"Lichte voertuigen")*SUMIFS(TableECFTransport[EnergieConsumptieFactor (PJ per km)],TableECFTransport[Index],CONCATENATE($A6,"_LPG_LPG"))</f>
        <v>7.2567663549736455E-4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0.15075395227295943</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4.2494423722243081E-2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1.0028588927748739E-2</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0.14485710031305923</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4.9538497579579277E-5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8.3808043404170925E-3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8.4111555550938164E-6</v>
      </c>
      <c r="C8" s="450"/>
      <c r="D8" s="452">
        <f>vkm_2011_NGW_PW*SUMIFS(TableVerdeelsleutelVkm[CNG],TableVerdeelsleutelVkm[Voertuigtype],"Lichte voertuigen")*SUMIFS(TableECFTransport[EnergieConsumptieFactor (PJ per km)],TableECFTransport[Index],CONCATENATE($A8,"_CNG_CNG"))</f>
        <v>3.4411852220741716E-5</v>
      </c>
      <c r="E8" s="452">
        <f>vkm_2011_NGW_PW*SUMIFS(TableVerdeelsleutelVkm[LPG],TableVerdeelsleutelVkm[Voertuigtype],"Lichte voertuigen")*SUMIFS(TableECFTransport[EnergieConsumptieFactor (PJ per km)],TableECFTransport[Index],CONCATENATE($A8,"_LPG_LPG"))</f>
        <v>2.0679256075715398E-4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4.0158811507424466E-2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1.2687198826767568E-2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2.7135718532261734E-3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1.7526384613945893E-2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5.6713339017441619E-6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1.0139907696607182E-3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15.71994800315764</v>
      </c>
      <c r="C14" s="21"/>
      <c r="D14" s="21">
        <f t="shared" ref="D14:M14" si="0">((D5)*10^9/3600)+D12</f>
        <v>40.516393590314053</v>
      </c>
      <c r="E14" s="21">
        <f t="shared" si="0"/>
        <v>259.01922118181068</v>
      </c>
      <c r="F14" s="21"/>
      <c r="G14" s="21">
        <f t="shared" si="0"/>
        <v>98137.846863163606</v>
      </c>
      <c r="H14" s="21">
        <f t="shared" si="0"/>
        <v>15343.564550136658</v>
      </c>
      <c r="I14" s="21"/>
      <c r="J14" s="21"/>
      <c r="K14" s="21"/>
      <c r="L14" s="21"/>
      <c r="M14" s="21">
        <f t="shared" si="0"/>
        <v>6149.1544141813119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0.16826796815109502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2.6451637099321994</v>
      </c>
      <c r="C18" s="23"/>
      <c r="D18" s="23">
        <f t="shared" ref="D18:M18" si="1">D14*D16</f>
        <v>8.1843115052434392</v>
      </c>
      <c r="E18" s="23">
        <f t="shared" si="1"/>
        <v>58.797363208271022</v>
      </c>
      <c r="F18" s="23"/>
      <c r="G18" s="23">
        <f t="shared" si="1"/>
        <v>26202.805112464684</v>
      </c>
      <c r="H18" s="23">
        <f t="shared" si="1"/>
        <v>3820.5475729840277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4.7453413306857341E-3</v>
      </c>
      <c r="H50" s="321">
        <f t="shared" si="2"/>
        <v>0</v>
      </c>
      <c r="I50" s="321">
        <f t="shared" si="2"/>
        <v>0</v>
      </c>
      <c r="J50" s="321">
        <f t="shared" si="2"/>
        <v>0</v>
      </c>
      <c r="K50" s="321">
        <f t="shared" si="2"/>
        <v>0</v>
      </c>
      <c r="L50" s="321">
        <f t="shared" si="2"/>
        <v>0</v>
      </c>
      <c r="M50" s="321">
        <f t="shared" si="2"/>
        <v>2.7061298267175071E-4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4.7453413306857341E-3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2.7061298267175071E-4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1318.1503696349262</v>
      </c>
      <c r="H54" s="21">
        <f t="shared" si="3"/>
        <v>0</v>
      </c>
      <c r="I54" s="21">
        <f t="shared" si="3"/>
        <v>0</v>
      </c>
      <c r="J54" s="21">
        <f t="shared" si="3"/>
        <v>0</v>
      </c>
      <c r="K54" s="21">
        <f t="shared" si="3"/>
        <v>0</v>
      </c>
      <c r="L54" s="21">
        <f t="shared" si="3"/>
        <v>0</v>
      </c>
      <c r="M54" s="21">
        <f t="shared" si="3"/>
        <v>75.170272964375201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0.16826796815109502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351.9461486925253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26629.49754511752</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3536.7494619838726</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900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2250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31066.247007101392</v>
      </c>
      <c r="C9" s="595">
        <f t="shared" ref="C9:L9" si="0">SUM(C7:C8)</f>
        <v>0</v>
      </c>
      <c r="D9" s="595">
        <f t="shared" si="0"/>
        <v>0</v>
      </c>
      <c r="E9" s="595">
        <f t="shared" si="0"/>
        <v>0</v>
      </c>
      <c r="F9" s="595">
        <f t="shared" si="0"/>
        <v>0</v>
      </c>
      <c r="G9" s="595">
        <f t="shared" si="0"/>
        <v>0</v>
      </c>
      <c r="H9" s="595">
        <f t="shared" si="0"/>
        <v>0</v>
      </c>
      <c r="I9" s="595">
        <f t="shared" si="0"/>
        <v>2250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63.75">
      <c r="A63" s="627"/>
      <c r="B63" s="852">
        <v>43005</v>
      </c>
      <c r="C63" s="852">
        <v>9900</v>
      </c>
      <c r="D63" s="675" t="s">
        <v>834</v>
      </c>
      <c r="E63" s="675" t="s">
        <v>835</v>
      </c>
      <c r="F63" s="675" t="s">
        <v>836</v>
      </c>
      <c r="G63" s="675" t="s">
        <v>837</v>
      </c>
      <c r="H63" s="675" t="s">
        <v>838</v>
      </c>
      <c r="I63" s="675" t="s">
        <v>839</v>
      </c>
      <c r="J63" s="851">
        <v>39066</v>
      </c>
      <c r="K63" s="851">
        <v>39142</v>
      </c>
      <c r="L63" s="675" t="s">
        <v>840</v>
      </c>
      <c r="M63" s="675">
        <v>200</v>
      </c>
      <c r="N63" s="675">
        <v>900</v>
      </c>
      <c r="O63" s="675">
        <v>0</v>
      </c>
      <c r="P63" s="675">
        <v>0</v>
      </c>
      <c r="Q63" s="675">
        <v>0</v>
      </c>
      <c r="R63" s="675">
        <v>0</v>
      </c>
      <c r="S63" s="675">
        <v>0</v>
      </c>
      <c r="T63" s="675">
        <v>0</v>
      </c>
      <c r="U63" s="675">
        <v>2250</v>
      </c>
      <c r="V63" s="675">
        <v>0</v>
      </c>
      <c r="W63" s="675">
        <v>0</v>
      </c>
      <c r="X63" s="675">
        <v>1600</v>
      </c>
      <c r="Y63" s="675" t="s">
        <v>50</v>
      </c>
      <c r="Z63" s="676" t="s">
        <v>156</v>
      </c>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200</v>
      </c>
      <c r="N88" s="630">
        <f t="shared" ref="N88:W88" si="5">SUM(N63:N87)</f>
        <v>900</v>
      </c>
      <c r="O88" s="630">
        <f t="shared" si="5"/>
        <v>0</v>
      </c>
      <c r="P88" s="630">
        <f t="shared" si="5"/>
        <v>0</v>
      </c>
      <c r="Q88" s="630">
        <f t="shared" si="5"/>
        <v>0</v>
      </c>
      <c r="R88" s="630">
        <f t="shared" si="5"/>
        <v>0</v>
      </c>
      <c r="S88" s="630">
        <f t="shared" si="5"/>
        <v>0</v>
      </c>
      <c r="T88" s="630">
        <f t="shared" si="5"/>
        <v>0</v>
      </c>
      <c r="U88" s="630">
        <f t="shared" si="5"/>
        <v>2250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200</v>
      </c>
      <c r="N90" s="630">
        <f t="shared" ref="N90:W90" si="7">SUMIF($Z$63:$Z$88,"tertiair",N63:N88)</f>
        <v>900</v>
      </c>
      <c r="O90" s="630">
        <f t="shared" si="7"/>
        <v>0</v>
      </c>
      <c r="P90" s="630">
        <f t="shared" si="7"/>
        <v>0</v>
      </c>
      <c r="Q90" s="630">
        <f t="shared" si="7"/>
        <v>0</v>
      </c>
      <c r="R90" s="630">
        <f t="shared" si="7"/>
        <v>0</v>
      </c>
      <c r="S90" s="630">
        <f t="shared" si="7"/>
        <v>0</v>
      </c>
      <c r="T90" s="630">
        <f t="shared" si="7"/>
        <v>0</v>
      </c>
      <c r="U90" s="630">
        <f t="shared" si="7"/>
        <v>2250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36447.471999999994</v>
      </c>
      <c r="D10" s="719">
        <f ca="1">tertiair!C16</f>
        <v>0</v>
      </c>
      <c r="E10" s="719">
        <f ca="1">tertiair!D16</f>
        <v>43641.213229576919</v>
      </c>
      <c r="F10" s="719">
        <f>tertiair!E16</f>
        <v>310.81031800903429</v>
      </c>
      <c r="G10" s="719">
        <f ca="1">tertiair!F16</f>
        <v>5179.0514701348584</v>
      </c>
      <c r="H10" s="719">
        <f>tertiair!G16</f>
        <v>0</v>
      </c>
      <c r="I10" s="719">
        <f>tertiair!H16</f>
        <v>0</v>
      </c>
      <c r="J10" s="719">
        <f>tertiair!I16</f>
        <v>0</v>
      </c>
      <c r="K10" s="719">
        <f>tertiair!J16</f>
        <v>0</v>
      </c>
      <c r="L10" s="719">
        <f>tertiair!K16</f>
        <v>0</v>
      </c>
      <c r="M10" s="719">
        <f ca="1">tertiair!L16</f>
        <v>0</v>
      </c>
      <c r="N10" s="719">
        <f>tertiair!M16</f>
        <v>0</v>
      </c>
      <c r="O10" s="719">
        <f ca="1">tertiair!N16</f>
        <v>3619.1236558070937</v>
      </c>
      <c r="P10" s="719">
        <f>tertiair!O16</f>
        <v>3.1266666666666669</v>
      </c>
      <c r="Q10" s="720">
        <f>tertiair!P16</f>
        <v>133.46666666666667</v>
      </c>
      <c r="R10" s="722">
        <f ca="1">SUM(C10:Q10)</f>
        <v>89334.264006861238</v>
      </c>
      <c r="S10" s="67"/>
    </row>
    <row r="11" spans="1:19" s="475" customFormat="1">
      <c r="A11" s="871" t="s">
        <v>225</v>
      </c>
      <c r="B11" s="876"/>
      <c r="C11" s="719">
        <f>huishoudens!B8</f>
        <v>36336.762431089184</v>
      </c>
      <c r="D11" s="719">
        <f>huishoudens!C8</f>
        <v>0</v>
      </c>
      <c r="E11" s="719">
        <f>huishoudens!D8</f>
        <v>83455.899038380579</v>
      </c>
      <c r="F11" s="719">
        <f>huishoudens!E8</f>
        <v>2637.2486697191066</v>
      </c>
      <c r="G11" s="719">
        <f>huishoudens!F8</f>
        <v>0</v>
      </c>
      <c r="H11" s="719">
        <f>huishoudens!G8</f>
        <v>0</v>
      </c>
      <c r="I11" s="719">
        <f>huishoudens!H8</f>
        <v>0</v>
      </c>
      <c r="J11" s="719">
        <f>huishoudens!I8</f>
        <v>0</v>
      </c>
      <c r="K11" s="719">
        <f>huishoudens!J8</f>
        <v>0</v>
      </c>
      <c r="L11" s="719">
        <f>huishoudens!K8</f>
        <v>0</v>
      </c>
      <c r="M11" s="719">
        <f>huishoudens!L8</f>
        <v>0</v>
      </c>
      <c r="N11" s="719">
        <f>huishoudens!M8</f>
        <v>0</v>
      </c>
      <c r="O11" s="719">
        <f>huishoudens!N8</f>
        <v>8824.530453196021</v>
      </c>
      <c r="P11" s="719">
        <f>huishoudens!O8</f>
        <v>167.27666666666667</v>
      </c>
      <c r="Q11" s="720">
        <f>huishoudens!P8</f>
        <v>572</v>
      </c>
      <c r="R11" s="722">
        <f>SUM(C11:Q11)</f>
        <v>131993.71725905157</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55161.794847999998</v>
      </c>
      <c r="D13" s="719">
        <f>industrie!C18</f>
        <v>0</v>
      </c>
      <c r="E13" s="719">
        <f>industrie!D18</f>
        <v>20892.999068621502</v>
      </c>
      <c r="F13" s="719">
        <f>industrie!E18</f>
        <v>1852.6573308842112</v>
      </c>
      <c r="G13" s="719">
        <f>industrie!F18</f>
        <v>9760.010280392049</v>
      </c>
      <c r="H13" s="719">
        <f>industrie!G18</f>
        <v>0</v>
      </c>
      <c r="I13" s="719">
        <f>industrie!H18</f>
        <v>0</v>
      </c>
      <c r="J13" s="719">
        <f>industrie!I18</f>
        <v>0</v>
      </c>
      <c r="K13" s="719">
        <f>industrie!J18</f>
        <v>93.040305180668611</v>
      </c>
      <c r="L13" s="719">
        <f>industrie!K18</f>
        <v>0</v>
      </c>
      <c r="M13" s="719">
        <f>industrie!L18</f>
        <v>0</v>
      </c>
      <c r="N13" s="719">
        <f>industrie!M18</f>
        <v>0</v>
      </c>
      <c r="O13" s="719">
        <f>industrie!N18</f>
        <v>16972.448609482253</v>
      </c>
      <c r="P13" s="719">
        <f>industrie!O18</f>
        <v>0</v>
      </c>
      <c r="Q13" s="720">
        <f>industrie!P18</f>
        <v>0</v>
      </c>
      <c r="R13" s="722">
        <f>SUM(C13:Q13)</f>
        <v>104732.95044256067</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127946.02927908918</v>
      </c>
      <c r="D15" s="724">
        <f t="shared" ref="D15:Q15" ca="1" si="0">SUM(D9:D14)</f>
        <v>0</v>
      </c>
      <c r="E15" s="724">
        <f t="shared" ca="1" si="0"/>
        <v>147990.11133657902</v>
      </c>
      <c r="F15" s="724">
        <f t="shared" si="0"/>
        <v>4800.7163186123526</v>
      </c>
      <c r="G15" s="724">
        <f t="shared" ca="1" si="0"/>
        <v>14939.061750526907</v>
      </c>
      <c r="H15" s="724">
        <f t="shared" si="0"/>
        <v>0</v>
      </c>
      <c r="I15" s="724">
        <f t="shared" si="0"/>
        <v>0</v>
      </c>
      <c r="J15" s="724">
        <f t="shared" si="0"/>
        <v>0</v>
      </c>
      <c r="K15" s="724">
        <f t="shared" si="0"/>
        <v>93.040305180668611</v>
      </c>
      <c r="L15" s="724">
        <f t="shared" si="0"/>
        <v>0</v>
      </c>
      <c r="M15" s="724">
        <f t="shared" ca="1" si="0"/>
        <v>0</v>
      </c>
      <c r="N15" s="724">
        <f t="shared" si="0"/>
        <v>0</v>
      </c>
      <c r="O15" s="724">
        <f t="shared" ca="1" si="0"/>
        <v>29416.102718485366</v>
      </c>
      <c r="P15" s="724">
        <f t="shared" si="0"/>
        <v>170.40333333333334</v>
      </c>
      <c r="Q15" s="725">
        <f t="shared" si="0"/>
        <v>705.4666666666667</v>
      </c>
      <c r="R15" s="726">
        <f ca="1">SUM(R9:R14)</f>
        <v>326060.93170847348</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1318.1503696349262</v>
      </c>
      <c r="I18" s="719">
        <f>transport!H54</f>
        <v>0</v>
      </c>
      <c r="J18" s="719">
        <f>transport!I54</f>
        <v>0</v>
      </c>
      <c r="K18" s="719">
        <f>transport!J54</f>
        <v>0</v>
      </c>
      <c r="L18" s="719">
        <f>transport!K54</f>
        <v>0</v>
      </c>
      <c r="M18" s="719">
        <f>transport!L54</f>
        <v>0</v>
      </c>
      <c r="N18" s="719">
        <f>transport!M54</f>
        <v>75.170272964375201</v>
      </c>
      <c r="O18" s="719">
        <f>transport!N54</f>
        <v>0</v>
      </c>
      <c r="P18" s="719">
        <f>transport!O54</f>
        <v>0</v>
      </c>
      <c r="Q18" s="720">
        <f>transport!P54</f>
        <v>0</v>
      </c>
      <c r="R18" s="722">
        <f>SUM(C18:Q18)</f>
        <v>1393.3206425993014</v>
      </c>
      <c r="S18" s="67"/>
    </row>
    <row r="19" spans="1:19" s="475" customFormat="1" ht="15" thickBot="1">
      <c r="A19" s="871" t="s">
        <v>307</v>
      </c>
      <c r="B19" s="876"/>
      <c r="C19" s="728">
        <f>transport!B14</f>
        <v>15.71994800315764</v>
      </c>
      <c r="D19" s="728">
        <f>transport!C14</f>
        <v>0</v>
      </c>
      <c r="E19" s="728">
        <f>transport!D14</f>
        <v>40.516393590314053</v>
      </c>
      <c r="F19" s="728">
        <f>transport!E14</f>
        <v>259.01922118181068</v>
      </c>
      <c r="G19" s="728">
        <f>transport!F14</f>
        <v>0</v>
      </c>
      <c r="H19" s="728">
        <f>transport!G14</f>
        <v>98137.846863163606</v>
      </c>
      <c r="I19" s="728">
        <f>transport!H14</f>
        <v>15343.564550136658</v>
      </c>
      <c r="J19" s="728">
        <f>transport!I14</f>
        <v>0</v>
      </c>
      <c r="K19" s="728">
        <f>transport!J14</f>
        <v>0</v>
      </c>
      <c r="L19" s="728">
        <f>transport!K14</f>
        <v>0</v>
      </c>
      <c r="M19" s="728">
        <f>transport!L14</f>
        <v>0</v>
      </c>
      <c r="N19" s="728">
        <f>transport!M14</f>
        <v>6149.1544141813119</v>
      </c>
      <c r="O19" s="728">
        <f>transport!N14</f>
        <v>0</v>
      </c>
      <c r="P19" s="728">
        <f>transport!O14</f>
        <v>0</v>
      </c>
      <c r="Q19" s="729">
        <f>transport!P14</f>
        <v>0</v>
      </c>
      <c r="R19" s="730">
        <f>SUM(C19:Q19)</f>
        <v>119945.82139025685</v>
      </c>
      <c r="S19" s="67"/>
    </row>
    <row r="20" spans="1:19" s="475" customFormat="1" ht="15.75" thickBot="1">
      <c r="A20" s="731" t="s">
        <v>230</v>
      </c>
      <c r="B20" s="879"/>
      <c r="C20" s="874">
        <f>SUM(C17:C19)</f>
        <v>15.71994800315764</v>
      </c>
      <c r="D20" s="732">
        <f t="shared" ref="D20:R20" si="1">SUM(D17:D19)</f>
        <v>0</v>
      </c>
      <c r="E20" s="732">
        <f t="shared" si="1"/>
        <v>40.516393590314053</v>
      </c>
      <c r="F20" s="732">
        <f t="shared" si="1"/>
        <v>259.01922118181068</v>
      </c>
      <c r="G20" s="732">
        <f t="shared" si="1"/>
        <v>0</v>
      </c>
      <c r="H20" s="732">
        <f t="shared" si="1"/>
        <v>99455.997232798531</v>
      </c>
      <c r="I20" s="732">
        <f t="shared" si="1"/>
        <v>15343.564550136658</v>
      </c>
      <c r="J20" s="732">
        <f t="shared" si="1"/>
        <v>0</v>
      </c>
      <c r="K20" s="732">
        <f t="shared" si="1"/>
        <v>0</v>
      </c>
      <c r="L20" s="732">
        <f t="shared" si="1"/>
        <v>0</v>
      </c>
      <c r="M20" s="732">
        <f t="shared" si="1"/>
        <v>0</v>
      </c>
      <c r="N20" s="732">
        <f t="shared" si="1"/>
        <v>6224.3246871456868</v>
      </c>
      <c r="O20" s="732">
        <f t="shared" si="1"/>
        <v>0</v>
      </c>
      <c r="P20" s="732">
        <f t="shared" si="1"/>
        <v>0</v>
      </c>
      <c r="Q20" s="733">
        <f t="shared" si="1"/>
        <v>0</v>
      </c>
      <c r="R20" s="734">
        <f t="shared" si="1"/>
        <v>121339.14203285615</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2236.9241000000002</v>
      </c>
      <c r="D22" s="728">
        <f>+landbouw!C8</f>
        <v>0</v>
      </c>
      <c r="E22" s="728">
        <f>+landbouw!D8</f>
        <v>3784.9806964635341</v>
      </c>
      <c r="F22" s="728">
        <f>+landbouw!E8</f>
        <v>20.719327924135641</v>
      </c>
      <c r="G22" s="728">
        <f>+landbouw!F8</f>
        <v>5675.5025753037435</v>
      </c>
      <c r="H22" s="728">
        <f>+landbouw!G8</f>
        <v>0</v>
      </c>
      <c r="I22" s="728">
        <f>+landbouw!H8</f>
        <v>0</v>
      </c>
      <c r="J22" s="728">
        <f>+landbouw!I8</f>
        <v>0</v>
      </c>
      <c r="K22" s="728">
        <f>+landbouw!J8</f>
        <v>342.94542867581623</v>
      </c>
      <c r="L22" s="728">
        <f>+landbouw!K8</f>
        <v>0</v>
      </c>
      <c r="M22" s="728">
        <f>+landbouw!L8</f>
        <v>0</v>
      </c>
      <c r="N22" s="728">
        <f>+landbouw!M8</f>
        <v>0</v>
      </c>
      <c r="O22" s="728">
        <f>+landbouw!N8</f>
        <v>0</v>
      </c>
      <c r="P22" s="728">
        <f>+landbouw!O8</f>
        <v>0</v>
      </c>
      <c r="Q22" s="729">
        <f>+landbouw!P8</f>
        <v>0</v>
      </c>
      <c r="R22" s="730">
        <f>SUM(C22:Q22)</f>
        <v>12061.072128367228</v>
      </c>
      <c r="S22" s="67"/>
    </row>
    <row r="23" spans="1:19" s="475" customFormat="1" ht="17.25" thickTop="1" thickBot="1">
      <c r="A23" s="735" t="s">
        <v>116</v>
      </c>
      <c r="B23" s="865"/>
      <c r="C23" s="736">
        <f ca="1">C20+C15+C22</f>
        <v>130198.67332709234</v>
      </c>
      <c r="D23" s="736">
        <f t="shared" ref="D23:Q23" ca="1" si="2">D20+D15+D22</f>
        <v>0</v>
      </c>
      <c r="E23" s="736">
        <f t="shared" ca="1" si="2"/>
        <v>151815.60842663285</v>
      </c>
      <c r="F23" s="736">
        <f t="shared" si="2"/>
        <v>5080.4548677182984</v>
      </c>
      <c r="G23" s="736">
        <f t="shared" ca="1" si="2"/>
        <v>20614.564325830652</v>
      </c>
      <c r="H23" s="736">
        <f t="shared" si="2"/>
        <v>99455.997232798531</v>
      </c>
      <c r="I23" s="736">
        <f t="shared" si="2"/>
        <v>15343.564550136658</v>
      </c>
      <c r="J23" s="736">
        <f t="shared" si="2"/>
        <v>0</v>
      </c>
      <c r="K23" s="736">
        <f t="shared" si="2"/>
        <v>435.98573385648484</v>
      </c>
      <c r="L23" s="736">
        <f t="shared" si="2"/>
        <v>0</v>
      </c>
      <c r="M23" s="736">
        <f t="shared" ca="1" si="2"/>
        <v>0</v>
      </c>
      <c r="N23" s="736">
        <f t="shared" si="2"/>
        <v>6224.3246871456868</v>
      </c>
      <c r="O23" s="736">
        <f t="shared" ca="1" si="2"/>
        <v>29416.102718485366</v>
      </c>
      <c r="P23" s="736">
        <f t="shared" si="2"/>
        <v>170.40333333333334</v>
      </c>
      <c r="Q23" s="737">
        <f t="shared" si="2"/>
        <v>705.4666666666667</v>
      </c>
      <c r="R23" s="738">
        <f ca="1">R20+R15+R22</f>
        <v>459461.1458696968</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6132.9420576839266</v>
      </c>
      <c r="D36" s="719">
        <f ca="1">tertiair!C20</f>
        <v>0</v>
      </c>
      <c r="E36" s="719">
        <f ca="1">tertiair!D20</f>
        <v>8815.5250723745376</v>
      </c>
      <c r="F36" s="719">
        <f>tertiair!E20</f>
        <v>70.553942188050783</v>
      </c>
      <c r="G36" s="719">
        <f ca="1">tertiair!F20</f>
        <v>1382.8067425260072</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16401.827814772521</v>
      </c>
    </row>
    <row r="37" spans="1:18">
      <c r="A37" s="886" t="s">
        <v>225</v>
      </c>
      <c r="B37" s="893"/>
      <c r="C37" s="719">
        <f ca="1">huishoudens!B12</f>
        <v>6114.3131834684209</v>
      </c>
      <c r="D37" s="719">
        <f ca="1">huishoudens!C12</f>
        <v>0</v>
      </c>
      <c r="E37" s="719">
        <f>huishoudens!D12</f>
        <v>16858.091605752878</v>
      </c>
      <c r="F37" s="719">
        <f>huishoudens!E12</f>
        <v>598.6554480262372</v>
      </c>
      <c r="G37" s="719">
        <f>huishoudens!F12</f>
        <v>0</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23571.060237247537</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9281.9631386404999</v>
      </c>
      <c r="D39" s="719">
        <f ca="1">industrie!C22</f>
        <v>0</v>
      </c>
      <c r="E39" s="719">
        <f>industrie!D22</f>
        <v>4220.3858118615435</v>
      </c>
      <c r="F39" s="719">
        <f>industrie!E22</f>
        <v>420.55321411071594</v>
      </c>
      <c r="G39" s="719">
        <f>industrie!F22</f>
        <v>2605.922744864677</v>
      </c>
      <c r="H39" s="719">
        <f>industrie!G22</f>
        <v>0</v>
      </c>
      <c r="I39" s="719">
        <f>industrie!H22</f>
        <v>0</v>
      </c>
      <c r="J39" s="719">
        <f>industrie!I22</f>
        <v>0</v>
      </c>
      <c r="K39" s="719">
        <f>industrie!J22</f>
        <v>32.936268033956686</v>
      </c>
      <c r="L39" s="719">
        <f>industrie!K22</f>
        <v>0</v>
      </c>
      <c r="M39" s="719">
        <f>industrie!L22</f>
        <v>0</v>
      </c>
      <c r="N39" s="719">
        <f>industrie!M22</f>
        <v>0</v>
      </c>
      <c r="O39" s="719">
        <f>industrie!N22</f>
        <v>0</v>
      </c>
      <c r="P39" s="719">
        <f>industrie!O22</f>
        <v>0</v>
      </c>
      <c r="Q39" s="829">
        <f>industrie!P22</f>
        <v>0</v>
      </c>
      <c r="R39" s="919">
        <f ca="1">SUM(C39:Q39)</f>
        <v>16561.761177511395</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21529.218379792845</v>
      </c>
      <c r="D41" s="764">
        <f t="shared" ref="D41:R41" ca="1" si="4">SUM(D35:D40)</f>
        <v>0</v>
      </c>
      <c r="E41" s="764">
        <f t="shared" ca="1" si="4"/>
        <v>29894.002489988958</v>
      </c>
      <c r="F41" s="764">
        <f t="shared" si="4"/>
        <v>1089.7626043250038</v>
      </c>
      <c r="G41" s="764">
        <f t="shared" ca="1" si="4"/>
        <v>3988.729487390684</v>
      </c>
      <c r="H41" s="764">
        <f t="shared" si="4"/>
        <v>0</v>
      </c>
      <c r="I41" s="764">
        <f t="shared" si="4"/>
        <v>0</v>
      </c>
      <c r="J41" s="764">
        <f t="shared" si="4"/>
        <v>0</v>
      </c>
      <c r="K41" s="764">
        <f t="shared" si="4"/>
        <v>32.936268033956686</v>
      </c>
      <c r="L41" s="764">
        <f t="shared" si="4"/>
        <v>0</v>
      </c>
      <c r="M41" s="764">
        <f t="shared" ca="1" si="4"/>
        <v>0</v>
      </c>
      <c r="N41" s="764">
        <f t="shared" si="4"/>
        <v>0</v>
      </c>
      <c r="O41" s="764">
        <f t="shared" ca="1" si="4"/>
        <v>0</v>
      </c>
      <c r="P41" s="764">
        <f t="shared" si="4"/>
        <v>0</v>
      </c>
      <c r="Q41" s="765">
        <f t="shared" si="4"/>
        <v>0</v>
      </c>
      <c r="R41" s="766">
        <f t="shared" ca="1" si="4"/>
        <v>56534.649229531453</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351.9461486925253</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351.9461486925253</v>
      </c>
    </row>
    <row r="45" spans="1:18" ht="15" thickBot="1">
      <c r="A45" s="889" t="s">
        <v>307</v>
      </c>
      <c r="B45" s="899"/>
      <c r="C45" s="728">
        <f ca="1">transport!B18</f>
        <v>2.6451637099321994</v>
      </c>
      <c r="D45" s="728">
        <f>transport!C18</f>
        <v>0</v>
      </c>
      <c r="E45" s="728">
        <f>transport!D18</f>
        <v>8.1843115052434392</v>
      </c>
      <c r="F45" s="728">
        <f>transport!E18</f>
        <v>58.797363208271022</v>
      </c>
      <c r="G45" s="728">
        <f>transport!F18</f>
        <v>0</v>
      </c>
      <c r="H45" s="728">
        <f>transport!G18</f>
        <v>26202.805112464684</v>
      </c>
      <c r="I45" s="728">
        <f>transport!H18</f>
        <v>3820.5475729840277</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30092.97952387216</v>
      </c>
    </row>
    <row r="46" spans="1:18" ht="15.75" thickBot="1">
      <c r="A46" s="887" t="s">
        <v>230</v>
      </c>
      <c r="B46" s="900"/>
      <c r="C46" s="764">
        <f t="shared" ref="C46:R46" ca="1" si="5">SUM(C43:C45)</f>
        <v>2.6451637099321994</v>
      </c>
      <c r="D46" s="764">
        <f t="shared" ca="1" si="5"/>
        <v>0</v>
      </c>
      <c r="E46" s="764">
        <f t="shared" si="5"/>
        <v>8.1843115052434392</v>
      </c>
      <c r="F46" s="764">
        <f t="shared" si="5"/>
        <v>58.797363208271022</v>
      </c>
      <c r="G46" s="764">
        <f t="shared" si="5"/>
        <v>0</v>
      </c>
      <c r="H46" s="764">
        <f t="shared" si="5"/>
        <v>26554.751261157209</v>
      </c>
      <c r="I46" s="764">
        <f t="shared" si="5"/>
        <v>3820.5475729840277</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30444.925672564685</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376.40267321521691</v>
      </c>
      <c r="D48" s="719">
        <f ca="1">+landbouw!C12</f>
        <v>0</v>
      </c>
      <c r="E48" s="719">
        <f>+landbouw!D12</f>
        <v>764.56610068563396</v>
      </c>
      <c r="F48" s="719">
        <f>+landbouw!E12</f>
        <v>4.7032874387787906</v>
      </c>
      <c r="G48" s="719">
        <f>+landbouw!F12</f>
        <v>1515.3591876060996</v>
      </c>
      <c r="H48" s="719">
        <f>+landbouw!G12</f>
        <v>0</v>
      </c>
      <c r="I48" s="719">
        <f>+landbouw!H12</f>
        <v>0</v>
      </c>
      <c r="J48" s="719">
        <f>+landbouw!I12</f>
        <v>0</v>
      </c>
      <c r="K48" s="719">
        <f>+landbouw!J12</f>
        <v>121.40268175123894</v>
      </c>
      <c r="L48" s="719">
        <f>+landbouw!K12</f>
        <v>0</v>
      </c>
      <c r="M48" s="719">
        <f>+landbouw!L12</f>
        <v>0</v>
      </c>
      <c r="N48" s="719">
        <f>+landbouw!M12</f>
        <v>0</v>
      </c>
      <c r="O48" s="719">
        <f>+landbouw!N12</f>
        <v>0</v>
      </c>
      <c r="P48" s="719">
        <f>+landbouw!O12</f>
        <v>0</v>
      </c>
      <c r="Q48" s="720">
        <f>+landbouw!P12</f>
        <v>0</v>
      </c>
      <c r="R48" s="762">
        <f ca="1">SUM(C48:Q48)</f>
        <v>2782.4339306969682</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21908.266216717991</v>
      </c>
      <c r="D53" s="774">
        <f t="shared" ref="D53:Q53" ca="1" si="6">D41+D46+D48</f>
        <v>0</v>
      </c>
      <c r="E53" s="774">
        <f t="shared" ca="1" si="6"/>
        <v>30666.752902179836</v>
      </c>
      <c r="F53" s="774">
        <f t="shared" si="6"/>
        <v>1153.2632549720536</v>
      </c>
      <c r="G53" s="774">
        <f t="shared" ca="1" si="6"/>
        <v>5504.0886749967831</v>
      </c>
      <c r="H53" s="774">
        <f t="shared" si="6"/>
        <v>26554.751261157209</v>
      </c>
      <c r="I53" s="774">
        <f t="shared" si="6"/>
        <v>3820.5475729840277</v>
      </c>
      <c r="J53" s="774">
        <f t="shared" si="6"/>
        <v>0</v>
      </c>
      <c r="K53" s="774">
        <f t="shared" si="6"/>
        <v>154.33894978519564</v>
      </c>
      <c r="L53" s="774">
        <f t="shared" si="6"/>
        <v>0</v>
      </c>
      <c r="M53" s="774">
        <f t="shared" ca="1" si="6"/>
        <v>0</v>
      </c>
      <c r="N53" s="774">
        <f t="shared" si="6"/>
        <v>0</v>
      </c>
      <c r="O53" s="774">
        <f t="shared" ca="1" si="6"/>
        <v>0</v>
      </c>
      <c r="P53" s="774">
        <f>P41+P46+P48</f>
        <v>0</v>
      </c>
      <c r="Q53" s="775">
        <f t="shared" si="6"/>
        <v>0</v>
      </c>
      <c r="R53" s="776">
        <f ca="1">R41+R46+R48</f>
        <v>89762.008832793101</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0.16826796815109496</v>
      </c>
      <c r="D55" s="837">
        <f t="shared" ca="1" si="7"/>
        <v>0</v>
      </c>
      <c r="E55" s="837">
        <f t="shared" ca="1" si="7"/>
        <v>0.20199999999999999</v>
      </c>
      <c r="F55" s="837">
        <f t="shared" si="7"/>
        <v>0.22699999999999998</v>
      </c>
      <c r="G55" s="837">
        <f t="shared" ca="1" si="7"/>
        <v>0.26699999999999996</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26629.49754511752</v>
      </c>
      <c r="C64" s="796">
        <f>'lokale energieproductie'!B4</f>
        <v>26629.49754511752</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3536.7494619838726</v>
      </c>
      <c r="C66" s="796">
        <f>'lokale energieproductie'!B6</f>
        <v>3536.7494619838726</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900</v>
      </c>
      <c r="C68" s="795">
        <f>B68*IFERROR(SUM(J68:L68)/SUM(D68:M68),0)</f>
        <v>900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2250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31066.247007101392</v>
      </c>
      <c r="C69" s="804">
        <f>SUM(C64:C68)</f>
        <v>31066.247007101392</v>
      </c>
      <c r="D69" s="805">
        <f t="shared" ref="D69:M69" si="8">SUM(D67:D68)</f>
        <v>0</v>
      </c>
      <c r="E69" s="805">
        <f t="shared" si="8"/>
        <v>0</v>
      </c>
      <c r="F69" s="805">
        <f t="shared" si="8"/>
        <v>0</v>
      </c>
      <c r="G69" s="805">
        <f t="shared" si="8"/>
        <v>0</v>
      </c>
      <c r="H69" s="805">
        <f t="shared" si="8"/>
        <v>0</v>
      </c>
      <c r="I69" s="805">
        <f t="shared" si="8"/>
        <v>0</v>
      </c>
      <c r="J69" s="805">
        <f t="shared" si="8"/>
        <v>2250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36336.762431089184</v>
      </c>
      <c r="C4" s="479">
        <f>huishoudens!C8</f>
        <v>0</v>
      </c>
      <c r="D4" s="479">
        <f>huishoudens!D8</f>
        <v>83455.899038380579</v>
      </c>
      <c r="E4" s="479">
        <f>huishoudens!E8</f>
        <v>2637.2486697191066</v>
      </c>
      <c r="F4" s="479">
        <f>huishoudens!F8</f>
        <v>0</v>
      </c>
      <c r="G4" s="479">
        <f>huishoudens!G8</f>
        <v>0</v>
      </c>
      <c r="H4" s="479">
        <f>huishoudens!H8</f>
        <v>0</v>
      </c>
      <c r="I4" s="479">
        <f>huishoudens!I8</f>
        <v>0</v>
      </c>
      <c r="J4" s="479">
        <f>huishoudens!J8</f>
        <v>0</v>
      </c>
      <c r="K4" s="479">
        <f>huishoudens!K8</f>
        <v>0</v>
      </c>
      <c r="L4" s="479">
        <f>huishoudens!L8</f>
        <v>0</v>
      </c>
      <c r="M4" s="479">
        <f>huishoudens!M8</f>
        <v>0</v>
      </c>
      <c r="N4" s="479">
        <f>huishoudens!N8</f>
        <v>8824.530453196021</v>
      </c>
      <c r="O4" s="479">
        <f>huishoudens!O8</f>
        <v>167.27666666666667</v>
      </c>
      <c r="P4" s="480">
        <f>huishoudens!P8</f>
        <v>572</v>
      </c>
      <c r="Q4" s="481">
        <f>SUM(B4:P4)</f>
        <v>131993.71725905157</v>
      </c>
    </row>
    <row r="5" spans="1:17">
      <c r="A5" s="478" t="s">
        <v>156</v>
      </c>
      <c r="B5" s="479">
        <f ca="1">tertiair!B16</f>
        <v>34961.657999999996</v>
      </c>
      <c r="C5" s="479">
        <f ca="1">tertiair!C16</f>
        <v>0</v>
      </c>
      <c r="D5" s="479">
        <f ca="1">tertiair!D16</f>
        <v>43641.213229576919</v>
      </c>
      <c r="E5" s="479">
        <f>tertiair!E16</f>
        <v>310.81031800903429</v>
      </c>
      <c r="F5" s="479">
        <f ca="1">tertiair!F16</f>
        <v>5179.0514701348584</v>
      </c>
      <c r="G5" s="479">
        <f>tertiair!G16</f>
        <v>0</v>
      </c>
      <c r="H5" s="479">
        <f>tertiair!H16</f>
        <v>0</v>
      </c>
      <c r="I5" s="479">
        <f>tertiair!I16</f>
        <v>0</v>
      </c>
      <c r="J5" s="479">
        <f>tertiair!J16</f>
        <v>0</v>
      </c>
      <c r="K5" s="479">
        <f>tertiair!K16</f>
        <v>0</v>
      </c>
      <c r="L5" s="479">
        <f ca="1">tertiair!L16</f>
        <v>0</v>
      </c>
      <c r="M5" s="479">
        <f>tertiair!M16</f>
        <v>0</v>
      </c>
      <c r="N5" s="479">
        <f ca="1">tertiair!N16</f>
        <v>3619.1236558070937</v>
      </c>
      <c r="O5" s="479">
        <f>tertiair!O16</f>
        <v>3.1266666666666669</v>
      </c>
      <c r="P5" s="480">
        <f>tertiair!P16</f>
        <v>133.46666666666667</v>
      </c>
      <c r="Q5" s="478">
        <f t="shared" ref="Q5:Q13" ca="1" si="0">SUM(B5:P5)</f>
        <v>87848.450006861225</v>
      </c>
    </row>
    <row r="6" spans="1:17">
      <c r="A6" s="478" t="s">
        <v>194</v>
      </c>
      <c r="B6" s="479">
        <f>'openbare verlichting'!B8</f>
        <v>1485.8140000000001</v>
      </c>
      <c r="C6" s="479"/>
      <c r="D6" s="479"/>
      <c r="E6" s="479"/>
      <c r="F6" s="479"/>
      <c r="G6" s="479"/>
      <c r="H6" s="479"/>
      <c r="I6" s="479"/>
      <c r="J6" s="479"/>
      <c r="K6" s="479"/>
      <c r="L6" s="479"/>
      <c r="M6" s="479"/>
      <c r="N6" s="479"/>
      <c r="O6" s="479"/>
      <c r="P6" s="480"/>
      <c r="Q6" s="478">
        <f t="shared" si="0"/>
        <v>1485.8140000000001</v>
      </c>
    </row>
    <row r="7" spans="1:17">
      <c r="A7" s="478" t="s">
        <v>112</v>
      </c>
      <c r="B7" s="479">
        <f>landbouw!B8</f>
        <v>2236.9241000000002</v>
      </c>
      <c r="C7" s="479">
        <f>landbouw!C8</f>
        <v>0</v>
      </c>
      <c r="D7" s="479">
        <f>landbouw!D8</f>
        <v>3784.9806964635341</v>
      </c>
      <c r="E7" s="479">
        <f>landbouw!E8</f>
        <v>20.719327924135641</v>
      </c>
      <c r="F7" s="479">
        <f>landbouw!F8</f>
        <v>5675.5025753037435</v>
      </c>
      <c r="G7" s="479">
        <f>landbouw!G8</f>
        <v>0</v>
      </c>
      <c r="H7" s="479">
        <f>landbouw!H8</f>
        <v>0</v>
      </c>
      <c r="I7" s="479">
        <f>landbouw!I8</f>
        <v>0</v>
      </c>
      <c r="J7" s="479">
        <f>landbouw!J8</f>
        <v>342.94542867581623</v>
      </c>
      <c r="K7" s="479">
        <f>landbouw!K8</f>
        <v>0</v>
      </c>
      <c r="L7" s="479">
        <f>landbouw!L8</f>
        <v>0</v>
      </c>
      <c r="M7" s="479">
        <f>landbouw!M8</f>
        <v>0</v>
      </c>
      <c r="N7" s="479">
        <f>landbouw!N8</f>
        <v>0</v>
      </c>
      <c r="O7" s="479">
        <f>landbouw!O8</f>
        <v>0</v>
      </c>
      <c r="P7" s="480">
        <f>landbouw!P8</f>
        <v>0</v>
      </c>
      <c r="Q7" s="478">
        <f t="shared" si="0"/>
        <v>12061.072128367228</v>
      </c>
    </row>
    <row r="8" spans="1:17">
      <c r="A8" s="478" t="s">
        <v>650</v>
      </c>
      <c r="B8" s="479">
        <f>industrie!B18</f>
        <v>55161.794847999998</v>
      </c>
      <c r="C8" s="479">
        <f>industrie!C18</f>
        <v>0</v>
      </c>
      <c r="D8" s="479">
        <f>industrie!D18</f>
        <v>20892.999068621502</v>
      </c>
      <c r="E8" s="479">
        <f>industrie!E18</f>
        <v>1852.6573308842112</v>
      </c>
      <c r="F8" s="479">
        <f>industrie!F18</f>
        <v>9760.010280392049</v>
      </c>
      <c r="G8" s="479">
        <f>industrie!G18</f>
        <v>0</v>
      </c>
      <c r="H8" s="479">
        <f>industrie!H18</f>
        <v>0</v>
      </c>
      <c r="I8" s="479">
        <f>industrie!I18</f>
        <v>0</v>
      </c>
      <c r="J8" s="479">
        <f>industrie!J18</f>
        <v>93.040305180668611</v>
      </c>
      <c r="K8" s="479">
        <f>industrie!K18</f>
        <v>0</v>
      </c>
      <c r="L8" s="479">
        <f>industrie!L18</f>
        <v>0</v>
      </c>
      <c r="M8" s="479">
        <f>industrie!M18</f>
        <v>0</v>
      </c>
      <c r="N8" s="479">
        <f>industrie!N18</f>
        <v>16972.448609482253</v>
      </c>
      <c r="O8" s="479">
        <f>industrie!O18</f>
        <v>0</v>
      </c>
      <c r="P8" s="480">
        <f>industrie!P18</f>
        <v>0</v>
      </c>
      <c r="Q8" s="478">
        <f t="shared" si="0"/>
        <v>104732.95044256067</v>
      </c>
    </row>
    <row r="9" spans="1:17" s="484" customFormat="1">
      <c r="A9" s="482" t="s">
        <v>571</v>
      </c>
      <c r="B9" s="483">
        <f>transport!B14</f>
        <v>15.71994800315764</v>
      </c>
      <c r="C9" s="483">
        <f>transport!C14</f>
        <v>0</v>
      </c>
      <c r="D9" s="483">
        <f>transport!D14</f>
        <v>40.516393590314053</v>
      </c>
      <c r="E9" s="483">
        <f>transport!E14</f>
        <v>259.01922118181068</v>
      </c>
      <c r="F9" s="483">
        <f>transport!F14</f>
        <v>0</v>
      </c>
      <c r="G9" s="483">
        <f>transport!G14</f>
        <v>98137.846863163606</v>
      </c>
      <c r="H9" s="483">
        <f>transport!H14</f>
        <v>15343.564550136658</v>
      </c>
      <c r="I9" s="483">
        <f>transport!I14</f>
        <v>0</v>
      </c>
      <c r="J9" s="483">
        <f>transport!J14</f>
        <v>0</v>
      </c>
      <c r="K9" s="483">
        <f>transport!K14</f>
        <v>0</v>
      </c>
      <c r="L9" s="483">
        <f>transport!L14</f>
        <v>0</v>
      </c>
      <c r="M9" s="483">
        <f>transport!M14</f>
        <v>6149.1544141813119</v>
      </c>
      <c r="N9" s="483">
        <f>transport!N14</f>
        <v>0</v>
      </c>
      <c r="O9" s="483">
        <f>transport!O14</f>
        <v>0</v>
      </c>
      <c r="P9" s="483">
        <f>transport!P14</f>
        <v>0</v>
      </c>
      <c r="Q9" s="482">
        <f>SUM(B9:P9)</f>
        <v>119945.82139025685</v>
      </c>
    </row>
    <row r="10" spans="1:17">
      <c r="A10" s="478" t="s">
        <v>561</v>
      </c>
      <c r="B10" s="479">
        <f>transport!B54</f>
        <v>0</v>
      </c>
      <c r="C10" s="479">
        <f>transport!C54</f>
        <v>0</v>
      </c>
      <c r="D10" s="479">
        <f>transport!D54</f>
        <v>0</v>
      </c>
      <c r="E10" s="479">
        <f>transport!E54</f>
        <v>0</v>
      </c>
      <c r="F10" s="479">
        <f>transport!F54</f>
        <v>0</v>
      </c>
      <c r="G10" s="479">
        <f>transport!G54</f>
        <v>1318.1503696349262</v>
      </c>
      <c r="H10" s="479">
        <f>transport!H54</f>
        <v>0</v>
      </c>
      <c r="I10" s="479">
        <f>transport!I54</f>
        <v>0</v>
      </c>
      <c r="J10" s="479">
        <f>transport!J54</f>
        <v>0</v>
      </c>
      <c r="K10" s="479">
        <f>transport!K54</f>
        <v>0</v>
      </c>
      <c r="L10" s="479">
        <f>transport!L54</f>
        <v>0</v>
      </c>
      <c r="M10" s="479">
        <f>transport!M54</f>
        <v>75.170272964375201</v>
      </c>
      <c r="N10" s="479">
        <f>transport!N54</f>
        <v>0</v>
      </c>
      <c r="O10" s="479">
        <f>transport!O54</f>
        <v>0</v>
      </c>
      <c r="P10" s="480">
        <f>transport!P54</f>
        <v>0</v>
      </c>
      <c r="Q10" s="478">
        <f t="shared" si="0"/>
        <v>1393.3206425993014</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130198.67332709234</v>
      </c>
      <c r="C14" s="489">
        <f t="shared" ref="C14:Q14" ca="1" si="1">SUM(C4:C13)</f>
        <v>0</v>
      </c>
      <c r="D14" s="489">
        <f t="shared" ca="1" si="1"/>
        <v>151815.60842663285</v>
      </c>
      <c r="E14" s="489">
        <f t="shared" si="1"/>
        <v>5080.4548677182975</v>
      </c>
      <c r="F14" s="489">
        <f t="shared" ca="1" si="1"/>
        <v>20614.564325830652</v>
      </c>
      <c r="G14" s="489">
        <f t="shared" si="1"/>
        <v>99455.997232798531</v>
      </c>
      <c r="H14" s="489">
        <f t="shared" si="1"/>
        <v>15343.564550136658</v>
      </c>
      <c r="I14" s="489">
        <f t="shared" si="1"/>
        <v>0</v>
      </c>
      <c r="J14" s="489">
        <f t="shared" si="1"/>
        <v>435.98573385648484</v>
      </c>
      <c r="K14" s="489">
        <f t="shared" si="1"/>
        <v>0</v>
      </c>
      <c r="L14" s="489">
        <f t="shared" ca="1" si="1"/>
        <v>0</v>
      </c>
      <c r="M14" s="489">
        <f t="shared" si="1"/>
        <v>6224.3246871456868</v>
      </c>
      <c r="N14" s="489">
        <f t="shared" ca="1" si="1"/>
        <v>29416.102718485366</v>
      </c>
      <c r="O14" s="489">
        <f t="shared" si="1"/>
        <v>170.40333333333334</v>
      </c>
      <c r="P14" s="490">
        <f t="shared" si="1"/>
        <v>705.4666666666667</v>
      </c>
      <c r="Q14" s="490">
        <f t="shared" ca="1" si="1"/>
        <v>459461.14586969692</v>
      </c>
    </row>
    <row r="16" spans="1:17">
      <c r="A16" s="492" t="s">
        <v>566</v>
      </c>
      <c r="B16" s="842">
        <f ca="1">huishoudens!B10</f>
        <v>0.16826796815109502</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6114.3131834684209</v>
      </c>
      <c r="C21" s="479">
        <f t="shared" ref="C21:C30" ca="1" si="3">C4*$C$16</f>
        <v>0</v>
      </c>
      <c r="D21" s="479">
        <f t="shared" ref="D21:D30" si="4">D4*$D$16</f>
        <v>16858.091605752878</v>
      </c>
      <c r="E21" s="479">
        <f t="shared" ref="E21:E30" si="5">E4*$E$16</f>
        <v>598.6554480262372</v>
      </c>
      <c r="F21" s="479">
        <f t="shared" ref="F21:F30" si="6">F4*$F$16</f>
        <v>0</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23571.060237247537</v>
      </c>
    </row>
    <row r="22" spans="1:17">
      <c r="A22" s="478" t="s">
        <v>156</v>
      </c>
      <c r="B22" s="479">
        <f t="shared" ca="1" si="2"/>
        <v>5882.9271548534753</v>
      </c>
      <c r="C22" s="479">
        <f t="shared" ca="1" si="3"/>
        <v>0</v>
      </c>
      <c r="D22" s="479">
        <f t="shared" ca="1" si="4"/>
        <v>8815.5250723745376</v>
      </c>
      <c r="E22" s="479">
        <f t="shared" si="5"/>
        <v>70.553942188050783</v>
      </c>
      <c r="F22" s="479">
        <f t="shared" ca="1" si="6"/>
        <v>1382.8067425260072</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16151.81291194207</v>
      </c>
    </row>
    <row r="23" spans="1:17">
      <c r="A23" s="478" t="s">
        <v>194</v>
      </c>
      <c r="B23" s="479">
        <f t="shared" ca="1" si="2"/>
        <v>250.01490283045109</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250.01490283045109</v>
      </c>
    </row>
    <row r="24" spans="1:17">
      <c r="A24" s="478" t="s">
        <v>112</v>
      </c>
      <c r="B24" s="479">
        <f t="shared" ca="1" si="2"/>
        <v>376.40267321521691</v>
      </c>
      <c r="C24" s="479">
        <f t="shared" ca="1" si="3"/>
        <v>0</v>
      </c>
      <c r="D24" s="479">
        <f t="shared" si="4"/>
        <v>764.56610068563396</v>
      </c>
      <c r="E24" s="479">
        <f t="shared" si="5"/>
        <v>4.7032874387787906</v>
      </c>
      <c r="F24" s="479">
        <f t="shared" si="6"/>
        <v>1515.3591876060996</v>
      </c>
      <c r="G24" s="479">
        <f t="shared" si="7"/>
        <v>0</v>
      </c>
      <c r="H24" s="479">
        <f t="shared" si="8"/>
        <v>0</v>
      </c>
      <c r="I24" s="479">
        <f t="shared" si="9"/>
        <v>0</v>
      </c>
      <c r="J24" s="479">
        <f t="shared" si="10"/>
        <v>121.40268175123894</v>
      </c>
      <c r="K24" s="479">
        <f t="shared" si="11"/>
        <v>0</v>
      </c>
      <c r="L24" s="479">
        <f t="shared" si="12"/>
        <v>0</v>
      </c>
      <c r="M24" s="479">
        <f t="shared" si="13"/>
        <v>0</v>
      </c>
      <c r="N24" s="479">
        <f t="shared" si="14"/>
        <v>0</v>
      </c>
      <c r="O24" s="479">
        <f t="shared" si="15"/>
        <v>0</v>
      </c>
      <c r="P24" s="480">
        <f t="shared" si="16"/>
        <v>0</v>
      </c>
      <c r="Q24" s="478">
        <f t="shared" ca="1" si="17"/>
        <v>2782.4339306969682</v>
      </c>
    </row>
    <row r="25" spans="1:17">
      <c r="A25" s="478" t="s">
        <v>650</v>
      </c>
      <c r="B25" s="479">
        <f t="shared" ca="1" si="2"/>
        <v>9281.9631386404999</v>
      </c>
      <c r="C25" s="479">
        <f t="shared" ca="1" si="3"/>
        <v>0</v>
      </c>
      <c r="D25" s="479">
        <f t="shared" si="4"/>
        <v>4220.3858118615435</v>
      </c>
      <c r="E25" s="479">
        <f t="shared" si="5"/>
        <v>420.55321411071594</v>
      </c>
      <c r="F25" s="479">
        <f t="shared" si="6"/>
        <v>2605.922744864677</v>
      </c>
      <c r="G25" s="479">
        <f t="shared" si="7"/>
        <v>0</v>
      </c>
      <c r="H25" s="479">
        <f t="shared" si="8"/>
        <v>0</v>
      </c>
      <c r="I25" s="479">
        <f t="shared" si="9"/>
        <v>0</v>
      </c>
      <c r="J25" s="479">
        <f t="shared" si="10"/>
        <v>32.936268033956686</v>
      </c>
      <c r="K25" s="479">
        <f t="shared" si="11"/>
        <v>0</v>
      </c>
      <c r="L25" s="479">
        <f t="shared" si="12"/>
        <v>0</v>
      </c>
      <c r="M25" s="479">
        <f t="shared" si="13"/>
        <v>0</v>
      </c>
      <c r="N25" s="479">
        <f t="shared" si="14"/>
        <v>0</v>
      </c>
      <c r="O25" s="479">
        <f t="shared" si="15"/>
        <v>0</v>
      </c>
      <c r="P25" s="480">
        <f t="shared" si="16"/>
        <v>0</v>
      </c>
      <c r="Q25" s="478">
        <f t="shared" ca="1" si="17"/>
        <v>16561.761177511395</v>
      </c>
    </row>
    <row r="26" spans="1:17" s="484" customFormat="1">
      <c r="A26" s="482" t="s">
        <v>571</v>
      </c>
      <c r="B26" s="836">
        <f t="shared" ca="1" si="2"/>
        <v>2.6451637099321994</v>
      </c>
      <c r="C26" s="483">
        <f t="shared" ca="1" si="3"/>
        <v>0</v>
      </c>
      <c r="D26" s="483">
        <f t="shared" si="4"/>
        <v>8.1843115052434392</v>
      </c>
      <c r="E26" s="483">
        <f t="shared" si="5"/>
        <v>58.797363208271022</v>
      </c>
      <c r="F26" s="483">
        <f t="shared" si="6"/>
        <v>0</v>
      </c>
      <c r="G26" s="483">
        <f t="shared" si="7"/>
        <v>26202.805112464684</v>
      </c>
      <c r="H26" s="483">
        <f t="shared" si="8"/>
        <v>3820.5475729840277</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30092.97952387216</v>
      </c>
    </row>
    <row r="27" spans="1:17">
      <c r="A27" s="478" t="s">
        <v>561</v>
      </c>
      <c r="B27" s="479">
        <f t="shared" ca="1" si="2"/>
        <v>0</v>
      </c>
      <c r="C27" s="479">
        <f t="shared" ca="1" si="3"/>
        <v>0</v>
      </c>
      <c r="D27" s="479">
        <f t="shared" si="4"/>
        <v>0</v>
      </c>
      <c r="E27" s="479">
        <f t="shared" si="5"/>
        <v>0</v>
      </c>
      <c r="F27" s="479">
        <f t="shared" si="6"/>
        <v>0</v>
      </c>
      <c r="G27" s="479">
        <f t="shared" si="7"/>
        <v>351.9461486925253</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351.9461486925253</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21908.266216717995</v>
      </c>
      <c r="C31" s="489">
        <f t="shared" ca="1" si="18"/>
        <v>0</v>
      </c>
      <c r="D31" s="489">
        <f t="shared" ca="1" si="18"/>
        <v>30666.752902179836</v>
      </c>
      <c r="E31" s="489">
        <f t="shared" si="18"/>
        <v>1153.2632549720538</v>
      </c>
      <c r="F31" s="489">
        <f t="shared" ca="1" si="18"/>
        <v>5504.088674996784</v>
      </c>
      <c r="G31" s="489">
        <f t="shared" si="18"/>
        <v>26554.751261157209</v>
      </c>
      <c r="H31" s="489">
        <f t="shared" si="18"/>
        <v>3820.5475729840277</v>
      </c>
      <c r="I31" s="489">
        <f t="shared" si="18"/>
        <v>0</v>
      </c>
      <c r="J31" s="489">
        <f t="shared" si="18"/>
        <v>154.33894978519564</v>
      </c>
      <c r="K31" s="489">
        <f t="shared" si="18"/>
        <v>0</v>
      </c>
      <c r="L31" s="489">
        <f t="shared" ca="1" si="18"/>
        <v>0</v>
      </c>
      <c r="M31" s="489">
        <f t="shared" si="18"/>
        <v>0</v>
      </c>
      <c r="N31" s="489">
        <f t="shared" ca="1" si="18"/>
        <v>0</v>
      </c>
      <c r="O31" s="489">
        <f t="shared" si="18"/>
        <v>0</v>
      </c>
      <c r="P31" s="490">
        <f t="shared" si="18"/>
        <v>0</v>
      </c>
      <c r="Q31" s="490">
        <f t="shared" ca="1" si="18"/>
        <v>89762.008832793101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0.16826796815109502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1</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1.5633333333333335</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0.16826796815109502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0.16826796815109502</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2018-06-27T09:37:36Z</dcterms:modified>
</cp:coreProperties>
</file>