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E14" i="48"/>
  <c r="Q4"/>
  <c r="N22"/>
  <c r="R11" i="14"/>
  <c r="J21" i="48"/>
  <c r="F8" l="1"/>
  <c r="Q8" s="1"/>
  <c r="Q14" s="1"/>
  <c r="K41" i="14"/>
  <c r="K53" s="1"/>
  <c r="K55" s="1"/>
  <c r="N31" i="48"/>
  <c r="N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<sst xmlns="http://schemas.openxmlformats.org/spreadsheetml/2006/main" count="1950" uniqueCount="834">
  <si>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</si>
  <si>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</si>
  <si>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</si>
  <si>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</si>
  <si>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</si>
  <si>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</si>
  <si>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</si>
  <si>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</si>
  <si>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</si>
  <si>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</si>
  <si>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</si>
  <si>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</si>
  <si>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</si>
  <si>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</si>
  <si>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</si>
  <si>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</si>
  <si>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</si>
  <si>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</si>
  <si>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</si>
  <si>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</si>
  <si>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</si>
  <si>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</si>
  <si>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</si>
  <si>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</si>
  <si>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</si>
  <si>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</si>
  <si>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</si>
  <si>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</si>
  <si>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</si>
  <si>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</si>
  <si>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</si>
  <si>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</si>
  <si>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</si>
  <si>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</si>
  <si>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</si>
  <si>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</si>
  <si>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</si>
  <si>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</si>
  <si>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</si>
  <si>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</si>
  <si>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</si>
  <si>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</si>
  <si>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</si>
  <si>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</si>
  <si>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</si>
  <si>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</si>
  <si>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</si>
  <si>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</si>
  <si>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</si>
  <si>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</si>
  <si>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</si>
  <si>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</si>
  <si>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</si>
  <si>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</si>
  <si>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</si>
  <si>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</si>
  <si>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</si>
  <si>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</si>
  <si>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</si>
  <si>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</si>
  <si>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</si>
  <si>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</si>
  <si>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</si>
  <si>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</si>
  <si>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</si>
  <si>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</si>
  <si>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</si>
  <si>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</si>
  <si>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</si>
  <si>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</si>
  <si>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</si>
  <si>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</si>
  <si>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</si>
  <si>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</si>
  <si>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</si>
  <si>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</si>
  <si>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</si>
  <si>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</si>
  <si>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</si>
  <si>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</si>
  <si>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</si>
  <si>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</si>
  <si>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</si>
  <si>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</si>
  <si>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</si>
  <si>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</si>
  <si>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</si>
  <si>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</si>
  <si>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</si>
  <si>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</si>
  <si>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</si>
  <si>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</si>
  <si>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</si>
  <si>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</si>
  <si>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</si>
  <si>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</si>
  <si>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</si>
  <si>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</si>
  <si>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</si>
  <si>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</si>
  <si>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</si>
  <si>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</si>
  <si>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</si>
  <si>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</si>
  <si>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</si>
  <si>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</si>
  <si>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</si>
  <si>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</si>
  <si>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</si>
  <si>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</si>
  <si>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</si>
  <si>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</si>
  <si>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</si>
  <si>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</si>
  <si>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</si>
  <si>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</si>
  <si>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</si>
  <si>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</si>
  <si>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</si>
  <si>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</si>
  <si>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</si>
  <si>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</si>
  <si>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</si>
  <si>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</si>
  <si>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</si>
  <si>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</si>
  <si>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</si>
  <si>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</si>
  <si>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</si>
  <si>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</si>
  <si>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</si>
  <si>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</si>
  <si>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</si>
  <si>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</si>
  <si>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</si>
  <si>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</si>
  <si>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</si>
  <si>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</si>
  <si>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</si>
  <si>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</si>
  <si>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</si>
  <si>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</si>
  <si>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</si>
  <si>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</si>
  <si>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</si>
  <si>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</si>
  <si>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</si>
  <si>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</si>
  <si>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</si>
  <si>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</si>
  <si>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</si>
  <si>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</si>
  <si>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</si>
  <si>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</si>
  <si>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</si>
  <si>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</si>
  <si>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</si>
  <si>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</si>
  <si>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</si>
  <si>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</si>
  <si>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</si>
  <si>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</si>
  <si>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</si>
  <si>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</si>
  <si>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</si>
  <si>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</si>
  <si>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</si>
  <si>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</si>
  <si>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</si>
  <si>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</si>
  <si>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</si>
  <si>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</si>
  <si>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</si>
  <si>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</si>
  <si>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</si>
  <si>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</si>
  <si>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</si>
  <si>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</si>
  <si>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</si>
  <si>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</si>
  <si>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</si>
  <si>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</si>
  <si>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</si>
  <si>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</si>
  <si>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</si>
  <si>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</si>
  <si>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</si>
  <si>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</si>
  <si>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</si>
  <si>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</si>
  <si>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</si>
  <si>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</si>
  <si>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</si>
  <si>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</si>
  <si>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</si>
  <si>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</si>
  <si>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</si>
  <si>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</si>
  <si>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</si>
  <si>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</si>
  <si>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</si>
  <si>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</si>
  <si>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</si>
  <si>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</si>
  <si>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</si>
  <si>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</si>
  <si>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</si>
  <si>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</si>
  <si>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</si>
  <si>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</si>
  <si>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</si>
  <si>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</si>
  <si>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</si>
  <si>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</si>
  <si>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</si>
  <si>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</si>
  <si>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</si>
  <si>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</si>
  <si>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</si>
  <si>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</si>
  <si>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</si>
  <si>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</si>
  <si>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</si>
  <si>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</si>
  <si>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</si>
  <si>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</si>
  <si>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</si>
  <si>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</si>
  <si>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</si>
  <si>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</si>
  <si>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</si>
  <si>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</si>
  <si>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</si>
  <si>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</si>
  <si>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</si>
  <si>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</si>
  <si>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</si>
  <si>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</si>
  <si>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</si>
  <si>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</si>
  <si>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</si>
  <si>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</si>
  <si>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</si>
  <si>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</si>
  <si>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</si>
  <si>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</si>
  <si>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</si>
  <si>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</si>
  <si>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</si>
  <si>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</si>
  <si>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</si>
  <si>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</si>
  <si>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</si>
  <si>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</si>
  <si>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</si>
  <si>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</si>
  <si>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</si>
  <si>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</si>
  <si>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</si>
  <si>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</si>
  <si>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</si>
  <si>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</si>
  <si>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</si>
  <si>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</si>
  <si>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</si>
  <si>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</si>
  <si>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</si>
  <si>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</si>
  <si>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</si>
  <si>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</si>
  <si>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</si>
  <si>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</si>
  <si>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</si>
  <si>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</si>
  <si>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</si>
  <si>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</si>
  <si>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</si>
  <si>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</si>
  <si>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</si>
  <si>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</si>
  <si>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</si>
  <si>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</si>
  <si>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</si>
  <si>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</si>
  <si>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</si>
  <si>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</si>
  <si>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</si>
  <si>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</si>
  <si>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</si>
  <si>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</si>
  <si>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</si>
  <si>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</si>
  <si>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</si>
  <si>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</si>
  <si>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</si>
  <si>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</si>
  <si>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</si>
  <si>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</si>
  <si>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</si>
  <si>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</si>
  <si>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</si>
  <si>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</si>
  <si>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</si>
  <si>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</si>
  <si>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</si>
  <si>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</si>
  <si>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</si>
  <si>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</si>
  <si>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</si>
  <si>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</si>
  <si>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</si>
  <si>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</si>
  <si>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</si>
  <si>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</si>
  <si>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</si>
  <si>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</si>
  <si>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</si>
  <si>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</si>
  <si>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</si>
  <si>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</si>
  <si>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</si>
  <si>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</si>
  <si>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</si>
  <si>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</si>
  <si>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</si>
  <si>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</si>
  <si>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</si>
  <si>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</si>
  <si>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</si>
  <si>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</si>
  <si>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</si>
  <si>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</si>
  <si>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</si>
  <si>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</si>
  <si>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</si>
  <si>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</si>
  <si>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</si>
  <si>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</si>
  <si>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</si>
  <si>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</si>
  <si>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</si>
  <si>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</si>
  <si>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</si>
  <si>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</si>
  <si>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</si>
  <si>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</si>
  <si>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</si>
  <si>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</si>
  <si>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</si>
  <si>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</si>
  <si>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</si>
  <si>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</si>
  <si>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</si>
  <si>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</si>
  <si>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</si>
  <si>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</si>
  <si>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</si>
  <si>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</si>
  <si>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</si>
  <si>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</si>
  <si>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</si>
  <si>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</si>
  <si>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</si>
  <si>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</si>
  <si>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</si>
  <si>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</si>
  <si>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</si>
  <si>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</si>
  <si>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</si>
  <si>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</si>
  <si>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</si>
  <si>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</si>
  <si>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</si>
  <si>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</si>
  <si>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</si>
  <si>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</si>
  <si>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</si>
  <si>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</si>
  <si>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</si>
  <si>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</si>
  <si>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</si>
  <si>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</si>
  <si>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</si>
  <si>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</si>
  <si>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</si>
  <si>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</si>
  <si>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</si>
  <si>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</si>
  <si>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</si>
  <si>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</si>
  <si>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</si>
  <si>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</si>
  <si>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</si>
  <si>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</si>
  <si>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</si>
  <si>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</si>
  <si>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</si>
  <si>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</si>
  <si>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</si>
  <si>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</si>
  <si>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</si>
  <si>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</si>
  <si>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</si>
  <si>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</si>
  <si>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</si>
  <si>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</si>
  <si>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</si>
  <si>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</si>
  <si>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</si>
  <si>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</si>
  <si>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</si>
  <si>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</si>
  <si>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</si>
  <si>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</si>
  <si>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</si>
  <si>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</si>
  <si>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</si>
  <si>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</si>
  <si>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</si>
  <si>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</si>
  <si>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</si>
  <si>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</si>
  <si>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</si>
  <si>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</si>
  <si>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</si>
  <si>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</si>
  <si>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</si>
  <si>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</si>
  <si>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</si>
  <si>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</si>
  <si>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</si>
  <si>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</si>
  <si>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</si>
  <si>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</si>
  <si>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</si>
  <si>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</si>
  <si>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</si>
  <si>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</si>
  <si>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</si>
  <si>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</si>
  <si>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</si>
  <si>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</si>
  <si>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</si>
  <si>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</si>
  <si>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</si>
  <si>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</si>
  <si>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</si>
  <si>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</si>
  <si>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</si>
  <si>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</si>
  <si>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</si>
  <si>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</si>
  <si>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</si>
  <si>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</si>
  <si>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</si>
  <si>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</si>
  <si>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</si>
  <si>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</si>
  <si>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</si>
  <si>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</si>
  <si>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</si>
  <si>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</si>
  <si>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</si>
  <si>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</si>
  <si>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</si>
  <si>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</si>
  <si>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</si>
  <si>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</si>
  <si>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</si>
  <si>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</si>
  <si>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</si>
  <si>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</si>
  <si>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</si>
  <si>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</si>
  <si>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</si>
  <si>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</si>
  <si>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</si>
  <si>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</si>
  <si>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</si>
  <si>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</si>
  <si>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</si>
  <si>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</si>
  <si>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</si>
  <si>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</si>
  <si>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</si>
  <si>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</si>
  <si>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</si>
  <si>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</si>
  <si>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</si>
  <si>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</si>
  <si>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</si>
  <si>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</si>
  <si>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</si>
  <si>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</si>
  <si>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</si>
  <si>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</si>
  <si>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</si>
  <si>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</si>
  <si>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</si>
  <si>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</si>
  <si>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</si>
  <si>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</si>
  <si>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</si>
  <si>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</si>
  <si>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</si>
  <si>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</si>
  <si>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</si>
  <si>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</si>
  <si>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</si>
  <si>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</si>
  <si>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</si>
  <si>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</si>
  <si>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</si>
  <si>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</si>
  <si>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</si>
  <si>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</si>
  <si>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</si>
  <si>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</si>
  <si>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</si>
  <si>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</si>
  <si>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</si>
  <si>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</si>
  <si>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</si>
  <si>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</si>
  <si>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</si>
  <si>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</si>
  <si>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</si>
  <si>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</si>
  <si>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</si>
  <si>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</si>
  <si>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</si>
  <si>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</si>
  <si>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</si>
  <si>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</si>
  <si>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</si>
  <si>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</si>
  <si>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</si>
  <si>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</si>
  <si>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</si>
  <si>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</si>
  <si>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</si>
  <si>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</si>
  <si>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</si>
  <si>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</si>
  <si>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</si>
  <si>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</si>
  <si>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</si>
  <si>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</si>
  <si>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</si>
  <si>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</si>
  <si>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</si>
  <si>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</si>
  <si>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</si>
  <si>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</si>
  <si>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</si>
  <si>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</si>
  <si>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</si>
  <si>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</si>
  <si>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</si>
  <si>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</si>
  <si>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</si>
  <si>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</si>
  <si>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</si>
  <si>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</si>
  <si>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</si>
  <si>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</si>
  <si>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</si>
  <si>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</si>
  <si>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</si>
  <si>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</si>
  <si>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</si>
  <si>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</si>
  <si>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</si>
  <si>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</si>
  <si>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</si>
  <si>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</si>
  <si>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</si>
  <si>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</si>
  <si>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</si>
  <si>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</si>
  <si>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</si>
  <si>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</si>
  <si>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</si>
  <si>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</si>
  <si>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</si>
  <si>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</si>
  <si>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</si>
  <si>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</si>
  <si>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</si>
  <si>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</si>
  <si>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</si>
  <si>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</si>
  <si>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</si>
  <si>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</si>
  <si>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</si>
  <si>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</si>
  <si>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</si>
  <si>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</si>
  <si>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</si>
  <si>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</si>
  <si>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</si>
  <si>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</si>
  <si>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</si>
  <si>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</si>
  <si>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</si>
  <si>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</si>
  <si>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</si>
  <si>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</si>
  <si>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</si>
  <si>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</si>
  <si>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</si>
  <si>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</si>
  <si>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</si>
  <si>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</si>
  <si>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</si>
  <si>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</si>
  <si>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</si>
  <si>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</si>
  <si>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</si>
  <si>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</si>
  <si>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</si>
  <si>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</si>
  <si>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</si>
  <si>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</si>
  <si>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</si>
  <si>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</si>
  <si>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</si>
  <si>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</si>
  <si>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</si>
  <si>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</si>
  <si>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</si>
  <si>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</si>
  <si>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</si>
  <si>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</si>
  <si>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</si>
  <si>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</si>
  <si>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</si>
  <si>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</si>
  <si>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</si>
  <si>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</si>
  <si>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</si>
  <si>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</si>
  <si>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</si>
  <si>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</si>
  <si>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</si>
  <si>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</si>
  <si>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</si>
  <si>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</si>
  <si>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</si>
  <si>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</si>
  <si>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</si>
  <si>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</si>
  <si>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</si>
  <si>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</si>
  <si>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</si>
  <si>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</si>
  <si>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</si>
  <si>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</si>
  <si>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</si>
  <si>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</si>
  <si>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</si>
  <si>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</si>
  <si>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</si>
  <si>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</si>
  <si>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</si>
  <si>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</si>
  <si>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</si>
  <si>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</si>
  <si>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</si>
  <si>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</si>
  <si>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</si>
  <si>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</si>
  <si>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</si>
  <si>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</si>
  <si>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</si>
  <si>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</si>
  <si>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</si>
  <si>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</si>
  <si>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</si>
  <si>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</si>
  <si>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</si>
  <si>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</si>
  <si>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</si>
  <si>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</si>
  <si>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</si>
  <si>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</si>
  <si>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</si>
  <si>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</si>
  <si>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</si>
  <si>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</si>
  <si>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</si>
  <si>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</si>
  <si>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</si>
  <si>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</si>
  <si>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</si>
  <si>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</si>
  <si>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</si>
  <si>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</si>
  <si>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</si>
  <si>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</si>
  <si>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</si>
  <si>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</si>
  <si>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</si>
  <si>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</si>
  <si>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</si>
  <si>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</si>
  <si>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</si>
  <si>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</si>
  <si>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</si>
  <si>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</si>
  <si>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</si>
  <si>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</si>
  <si>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</si>
  <si>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</si>
  <si>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</si>
  <si>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</si>
  <si>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</si>
  <si>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</si>
  <si>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</si>
  <si>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</si>
  <si>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</si>
  <si>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</si>
  <si>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</si>
  <si>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</si>
  <si>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</si>
  <si>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</si>
  <si>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</si>
  <si>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</si>
  <si>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</si>
  <si>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</si>
  <si>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</si>
  <si>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</si>
  <si>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</si>
  <si>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</si>
  <si>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</si>
  <si>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</si>
  <si>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</si>
  <si>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</si>
  <si>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</si>
  <si>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</si>
  <si>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</si>
  <si>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</si>
  <si>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</si>
  <si>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</si>
  <si>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</si>
  <si>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</si>
  <si>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</si>
  <si>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</si>
  <si>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</si>
  <si>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</si>
  <si>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</si>
  <si>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</si>
  <si>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</si>
  <si>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</si>
  <si>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</si>
  <si>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</si>
  <si>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</si>
  <si>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</si>
  <si>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</si>
  <si>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</si>
  <si>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</si>
  <si>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</si>
  <si>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</si>
  <si>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</si>
  <si>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</si>
  <si>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</si>
  <si>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</si>
  <si>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</si>
  <si>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</si>
  <si>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</si>
  <si>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</si>
  <si>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</si>
  <si>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</si>
  <si>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</si>
  <si>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</si>
  <si>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</si>
  <si>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</si>
  <si>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</si>
  <si>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</si>
  <si>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</si>
  <si>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</si>
  <si>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</si>
  <si>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</si>
  <si>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</si>
  <si>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</si>
  <si>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</si>
  <si>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</si>
  <si>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</si>
  <si>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</si>
  <si>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</si>
  <si>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</si>
  <si>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</si>
  <si>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</si>
  <si>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</si>
  <si>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</si>
  <si>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</si>
  <si>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</si>
  <si>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</si>
  <si>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</si>
  <si>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</si>
  <si>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</si>
  <si>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</si>
  <si>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</si>
  <si>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</si>
  <si>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</si>
  <si>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</si>
  <si>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</si>
  <si>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</si>
  <si>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</si>
  <si>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</si>
  <si>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</si>
  <si>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</si>
  <si>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</si>
  <si>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</si>
  <si>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</si>
  <si>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</si>
  <si>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</si>
  <si>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</si>
  <si>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</si>
  <si>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</si>
  <si>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</si>
  <si>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</si>
  <si>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</si>
  <si>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</si>
  <si>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</si>
  <si>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</si>
  <si>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42028</t>
  </si>
  <si>
    <t>ZELE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</si>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</sst>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144450.72231527511</c:v>
                </c:pt>
                <c:pt idx="1">
                  <c:v>48748.35020232547</c:v>
                </c:pt>
                <c:pt idx="2">
                  <c:v>1353.5609999999999</c:v>
                </c:pt>
                <c:pt idx="3">
                  <c:v>7705.9871757933206</c:v>
                </c:pt>
                <c:pt idx="4">
                  <c:v>168259.84860925656</c:v>
                </c:pt>
                <c:pt idx="5">
                  <c:v>121732.64379467741</c:v>
                </c:pt>
                <c:pt idx="6">
                  <c:v>265.29046314487482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144450.72231527511</c:v>
                </c:pt>
                <c:pt idx="1">
                  <c:v>48748.35020232547</c:v>
                </c:pt>
                <c:pt idx="2">
                  <c:v>1353.5609999999999</c:v>
                </c:pt>
                <c:pt idx="3">
                  <c:v>7705.9871757933206</c:v>
                </c:pt>
                <c:pt idx="4">
                  <c:v>168259.84860925656</c:v>
                </c:pt>
                <c:pt idx="5">
                  <c:v>121732.64379467741</c:v>
                </c:pt>
                <c:pt idx="6">
                  <c:v>265.29046314487482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26659.847798818628</c:v>
                </c:pt>
                <c:pt idx="1">
                  <c:v>8967.9508355139915</c:v>
                </c:pt>
                <c:pt idx="2">
                  <c:v>235.71406731563394</c:v>
                </c:pt>
                <c:pt idx="3">
                  <c:v>1791.3536150681018</c:v>
                </c:pt>
                <c:pt idx="4">
                  <c:v>30555.240213310073</c:v>
                </c:pt>
                <c:pt idx="5">
                  <c:v>30520.669296675373</c:v>
                </c:pt>
                <c:pt idx="6">
                  <c:v>67.011105652258877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26659.847798818628</c:v>
                </c:pt>
                <c:pt idx="1">
                  <c:v>8967.9508355139915</c:v>
                </c:pt>
                <c:pt idx="2">
                  <c:v>235.71406731563394</c:v>
                </c:pt>
                <c:pt idx="3">
                  <c:v>1791.3536150681018</c:v>
                </c:pt>
                <c:pt idx="4">
                  <c:v>30555.240213310073</c:v>
                </c:pt>
                <c:pt idx="5">
                  <c:v>30520.669296675373</c:v>
                </c:pt>
                <c:pt idx="6">
                  <c:v>67.011105652258877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42028</v>
      </c>
      <c r="B6" s="416"/>
      <c r="C6" s="417"/>
    </row>
    <row r="7" spans="1:7" s="414" customFormat="1" ht="15.75" customHeight="1">
      <c r="A7" s="418" t="str">
        <f>txtMunicipality</f>
        <v>ZELE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8202</v>
      </c>
      <c r="C9" s="342">
        <v>8658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1963</v>
      </c>
    </row>
    <row r="15" spans="1:6">
      <c r="A15" s="348" t="s">
        <v>184</v>
      </c>
      <c r="B15" s="334">
        <v>36</v>
      </c>
    </row>
    <row r="16" spans="1:6">
      <c r="A16" s="348" t="s">
        <v>6</v>
      </c>
      <c r="B16" s="334">
        <v>1365</v>
      </c>
    </row>
    <row r="17" spans="1:6">
      <c r="A17" s="348" t="s">
        <v>7</v>
      </c>
      <c r="B17" s="334">
        <v>801</v>
      </c>
    </row>
    <row r="18" spans="1:6">
      <c r="A18" s="348" t="s">
        <v>8</v>
      </c>
      <c r="B18" s="334">
        <v>1350</v>
      </c>
    </row>
    <row r="19" spans="1:6">
      <c r="A19" s="348" t="s">
        <v>9</v>
      </c>
      <c r="B19" s="334">
        <v>1429</v>
      </c>
    </row>
    <row r="20" spans="1:6">
      <c r="A20" s="348" t="s">
        <v>10</v>
      </c>
      <c r="B20" s="334">
        <v>1531</v>
      </c>
    </row>
    <row r="21" spans="1:6">
      <c r="A21" s="348" t="s">
        <v>11</v>
      </c>
      <c r="B21" s="334">
        <v>1178</v>
      </c>
    </row>
    <row r="22" spans="1:6">
      <c r="A22" s="348" t="s">
        <v>12</v>
      </c>
      <c r="B22" s="334">
        <v>5117</v>
      </c>
    </row>
    <row r="23" spans="1:6">
      <c r="A23" s="348" t="s">
        <v>13</v>
      </c>
      <c r="B23" s="334">
        <v>49</v>
      </c>
    </row>
    <row r="24" spans="1:6">
      <c r="A24" s="348" t="s">
        <v>14</v>
      </c>
      <c r="B24" s="334">
        <v>3</v>
      </c>
    </row>
    <row r="25" spans="1:6">
      <c r="A25" s="348" t="s">
        <v>15</v>
      </c>
      <c r="B25" s="334">
        <v>612</v>
      </c>
    </row>
    <row r="26" spans="1:6">
      <c r="A26" s="348" t="s">
        <v>16</v>
      </c>
      <c r="B26" s="334">
        <v>30</v>
      </c>
    </row>
    <row r="27" spans="1:6">
      <c r="A27" s="348" t="s">
        <v>17</v>
      </c>
      <c r="B27" s="334">
        <v>202</v>
      </c>
    </row>
    <row r="28" spans="1:6" s="356" customFormat="1">
      <c r="A28" s="355" t="s">
        <v>18</v>
      </c>
      <c r="B28" s="355">
        <v>128662</v>
      </c>
    </row>
    <row r="29" spans="1:6">
      <c r="A29" s="355" t="s">
        <v>828</v>
      </c>
      <c r="B29" s="355">
        <v>77</v>
      </c>
      <c r="C29" s="356"/>
      <c r="D29" s="356"/>
      <c r="E29" s="356"/>
      <c r="F29" s="356"/>
    </row>
    <row r="30" spans="1:6">
      <c r="A30" s="341" t="s">
        <v>829</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7245.1890000000003</v>
      </c>
    </row>
    <row r="37" spans="1:6">
      <c r="A37" s="348" t="s">
        <v>25</v>
      </c>
      <c r="B37" s="348" t="s">
        <v>28</v>
      </c>
      <c r="C37" s="334">
        <v>0</v>
      </c>
      <c r="D37" s="334">
        <v>0</v>
      </c>
      <c r="E37" s="334">
        <v>0</v>
      </c>
      <c r="F37" s="334">
        <v>0</v>
      </c>
    </row>
    <row r="38" spans="1:6">
      <c r="A38" s="348" t="s">
        <v>25</v>
      </c>
      <c r="B38" s="348" t="s">
        <v>29</v>
      </c>
      <c r="C38" s="334">
        <v>0</v>
      </c>
      <c r="D38" s="334">
        <v>0</v>
      </c>
      <c r="E38" s="334">
        <v>5</v>
      </c>
      <c r="F38" s="334">
        <v>41763.64</v>
      </c>
    </row>
    <row r="39" spans="1:6">
      <c r="A39" s="348" t="s">
        <v>30</v>
      </c>
      <c r="B39" s="348" t="s">
        <v>31</v>
      </c>
      <c r="C39" s="334">
        <v>6009</v>
      </c>
      <c r="D39" s="334">
        <v>89837668.570169494</v>
      </c>
      <c r="E39" s="334">
        <v>8043</v>
      </c>
      <c r="F39" s="334">
        <v>33310555</v>
      </c>
    </row>
    <row r="40" spans="1:6">
      <c r="A40" s="348" t="s">
        <v>30</v>
      </c>
      <c r="B40" s="348" t="s">
        <v>29</v>
      </c>
      <c r="C40" s="334">
        <v>1</v>
      </c>
      <c r="D40" s="334">
        <v>28977.403142383198</v>
      </c>
      <c r="E40" s="334">
        <v>1</v>
      </c>
      <c r="F40" s="334">
        <v>10806</v>
      </c>
    </row>
    <row r="41" spans="1:6">
      <c r="A41" s="348" t="s">
        <v>32</v>
      </c>
      <c r="B41" s="348" t="s">
        <v>33</v>
      </c>
      <c r="C41" s="334">
        <v>99</v>
      </c>
      <c r="D41" s="334">
        <v>2705094.8521713298</v>
      </c>
      <c r="E41" s="334">
        <v>210</v>
      </c>
      <c r="F41" s="334">
        <v>2912919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160811.05779240499</v>
      </c>
      <c r="E44" s="334">
        <v>14</v>
      </c>
      <c r="F44" s="334">
        <v>1470504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609005.44863341795</v>
      </c>
      <c r="E47" s="334">
        <v>9</v>
      </c>
      <c r="F47" s="334">
        <v>4039990</v>
      </c>
    </row>
    <row r="48" spans="1:6">
      <c r="A48" s="348" t="s">
        <v>32</v>
      </c>
      <c r="B48" s="348" t="s">
        <v>29</v>
      </c>
      <c r="C48" s="334">
        <v>46</v>
      </c>
      <c r="D48" s="334">
        <v>38514312.6568956</v>
      </c>
      <c r="E48" s="334">
        <v>54</v>
      </c>
      <c r="F48" s="334">
        <v>56834162</v>
      </c>
    </row>
    <row r="49" spans="1:6">
      <c r="A49" s="348" t="s">
        <v>32</v>
      </c>
      <c r="B49" s="348" t="s">
        <v>40</v>
      </c>
      <c r="C49" s="334">
        <v>0</v>
      </c>
      <c r="D49" s="334">
        <v>0</v>
      </c>
      <c r="E49" s="334">
        <v>3</v>
      </c>
      <c r="F49" s="334">
        <v>591550.30000000005</v>
      </c>
    </row>
    <row r="50" spans="1:6">
      <c r="A50" s="348" t="s">
        <v>32</v>
      </c>
      <c r="B50" s="348" t="s">
        <v>41</v>
      </c>
      <c r="C50" s="334">
        <v>20</v>
      </c>
      <c r="D50" s="334">
        <v>6724044.5171368597</v>
      </c>
      <c r="E50" s="334">
        <v>25</v>
      </c>
      <c r="F50" s="334">
        <v>7334678</v>
      </c>
    </row>
    <row r="51" spans="1:6">
      <c r="A51" s="348" t="s">
        <v>42</v>
      </c>
      <c r="B51" s="348" t="s">
        <v>43</v>
      </c>
      <c r="C51" s="334">
        <v>20</v>
      </c>
      <c r="D51" s="334">
        <v>223508.065374128</v>
      </c>
      <c r="E51" s="334">
        <v>91</v>
      </c>
      <c r="F51" s="334">
        <v>1428293</v>
      </c>
    </row>
    <row r="52" spans="1:6">
      <c r="A52" s="348" t="s">
        <v>42</v>
      </c>
      <c r="B52" s="348" t="s">
        <v>29</v>
      </c>
      <c r="C52" s="334">
        <v>8</v>
      </c>
      <c r="D52" s="334">
        <v>98659.2820111935</v>
      </c>
      <c r="E52" s="334">
        <v>6</v>
      </c>
      <c r="F52" s="334">
        <v>33414.339999999997</v>
      </c>
    </row>
    <row r="53" spans="1:6">
      <c r="A53" s="348" t="s">
        <v>44</v>
      </c>
      <c r="B53" s="348" t="s">
        <v>45</v>
      </c>
      <c r="C53" s="334">
        <v>159</v>
      </c>
      <c r="D53" s="334">
        <v>2225520.9738174402</v>
      </c>
      <c r="E53" s="334">
        <v>326</v>
      </c>
      <c r="F53" s="334">
        <v>2095411</v>
      </c>
    </row>
    <row r="54" spans="1:6">
      <c r="A54" s="348" t="s">
        <v>46</v>
      </c>
      <c r="B54" s="348" t="s">
        <v>47</v>
      </c>
      <c r="C54" s="334">
        <v>0</v>
      </c>
      <c r="D54" s="334">
        <v>0</v>
      </c>
      <c r="E54" s="334">
        <v>1</v>
      </c>
      <c r="F54" s="334">
        <v>1353561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1753247.1629806</v>
      </c>
      <c r="E57" s="334">
        <v>66</v>
      </c>
      <c r="F57" s="334">
        <v>2868199</v>
      </c>
    </row>
    <row r="58" spans="1:6">
      <c r="A58" s="348" t="s">
        <v>49</v>
      </c>
      <c r="B58" s="348" t="s">
        <v>51</v>
      </c>
      <c r="C58" s="334">
        <v>28</v>
      </c>
      <c r="D58" s="334">
        <v>754585.47024495597</v>
      </c>
      <c r="E58" s="334">
        <v>42</v>
      </c>
      <c r="F58" s="334">
        <v>485189.9</v>
      </c>
    </row>
    <row r="59" spans="1:6">
      <c r="A59" s="348" t="s">
        <v>49</v>
      </c>
      <c r="B59" s="348" t="s">
        <v>52</v>
      </c>
      <c r="C59" s="334">
        <v>109</v>
      </c>
      <c r="D59" s="334">
        <v>3914621.01939834</v>
      </c>
      <c r="E59" s="334">
        <v>208</v>
      </c>
      <c r="F59" s="334">
        <v>5903194</v>
      </c>
    </row>
    <row r="60" spans="1:6">
      <c r="A60" s="348" t="s">
        <v>49</v>
      </c>
      <c r="B60" s="348" t="s">
        <v>53</v>
      </c>
      <c r="C60" s="334">
        <v>58</v>
      </c>
      <c r="D60" s="334">
        <v>1958296.5217116501</v>
      </c>
      <c r="E60" s="334">
        <v>74</v>
      </c>
      <c r="F60" s="334">
        <v>1470492</v>
      </c>
    </row>
    <row r="61" spans="1:6">
      <c r="A61" s="348" t="s">
        <v>49</v>
      </c>
      <c r="B61" s="348" t="s">
        <v>54</v>
      </c>
      <c r="C61" s="334">
        <v>144</v>
      </c>
      <c r="D61" s="334">
        <v>8095414.6709922897</v>
      </c>
      <c r="E61" s="334">
        <v>253</v>
      </c>
      <c r="F61" s="334">
        <v>4231290</v>
      </c>
    </row>
    <row r="62" spans="1:6">
      <c r="A62" s="348" t="s">
        <v>49</v>
      </c>
      <c r="B62" s="348" t="s">
        <v>55</v>
      </c>
      <c r="C62" s="334">
        <v>12</v>
      </c>
      <c r="D62" s="334">
        <v>2099713.8811816899</v>
      </c>
      <c r="E62" s="334">
        <v>16</v>
      </c>
      <c r="F62" s="334">
        <v>691886.9</v>
      </c>
    </row>
    <row r="63" spans="1:6">
      <c r="A63" s="348" t="s">
        <v>49</v>
      </c>
      <c r="B63" s="348" t="s">
        <v>29</v>
      </c>
      <c r="C63" s="334">
        <v>85</v>
      </c>
      <c r="D63" s="334">
        <v>6239874.78241714</v>
      </c>
      <c r="E63" s="334">
        <v>97</v>
      </c>
      <c r="F63" s="334">
        <v>4806152</v>
      </c>
    </row>
    <row r="64" spans="1:6">
      <c r="A64" s="348" t="s">
        <v>56</v>
      </c>
      <c r="B64" s="348" t="s">
        <v>57</v>
      </c>
      <c r="C64" s="334">
        <v>0</v>
      </c>
      <c r="D64" s="334">
        <v>0</v>
      </c>
      <c r="E64" s="334">
        <v>0</v>
      </c>
      <c r="F64" s="334">
        <v>0</v>
      </c>
    </row>
    <row r="65" spans="1:6">
      <c r="A65" s="348" t="s">
        <v>56</v>
      </c>
      <c r="B65" s="348" t="s">
        <v>29</v>
      </c>
      <c r="C65" s="334">
        <v>3</v>
      </c>
      <c r="D65" s="334">
        <v>120408.85811422599</v>
      </c>
      <c r="E65" s="334">
        <v>3</v>
      </c>
      <c r="F65" s="334">
        <v>14267.18</v>
      </c>
    </row>
    <row r="66" spans="1:6">
      <c r="A66" s="348" t="s">
        <v>56</v>
      </c>
      <c r="B66" s="348" t="s">
        <v>58</v>
      </c>
      <c r="C66" s="334">
        <v>0</v>
      </c>
      <c r="D66" s="334">
        <v>0</v>
      </c>
      <c r="E66" s="334">
        <v>7</v>
      </c>
      <c r="F66" s="334">
        <v>84588.59</v>
      </c>
    </row>
    <row r="67" spans="1:6">
      <c r="A67" s="355" t="s">
        <v>56</v>
      </c>
      <c r="B67" s="355" t="s">
        <v>59</v>
      </c>
      <c r="C67" s="334">
        <v>0</v>
      </c>
      <c r="D67" s="334">
        <v>0</v>
      </c>
      <c r="E67" s="334">
        <v>0</v>
      </c>
      <c r="F67" s="334">
        <v>0</v>
      </c>
    </row>
    <row r="68" spans="1:6">
      <c r="A68" s="341" t="s">
        <v>56</v>
      </c>
      <c r="B68" s="341" t="s">
        <v>60</v>
      </c>
      <c r="C68" s="334">
        <v>7</v>
      </c>
      <c r="D68" s="334">
        <v>610759.11841231596</v>
      </c>
      <c r="E68" s="334">
        <v>14</v>
      </c>
      <c r="F68" s="334">
        <v>677878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61481467</v>
      </c>
      <c r="E73" s="477">
        <v>63632854.548380055</v>
      </c>
    </row>
    <row r="74" spans="1:6">
      <c r="A74" s="348" t="s">
        <v>64</v>
      </c>
      <c r="B74" s="348" t="s">
        <v>714</v>
      </c>
      <c r="C74" s="1229" t="s">
        <v>716</v>
      </c>
      <c r="D74" s="477">
        <v>5416129.0272789598</v>
      </c>
      <c r="E74" s="477">
        <v>5556150.8678774405</v>
      </c>
    </row>
    <row r="75" spans="1:6">
      <c r="A75" s="348" t="s">
        <v>65</v>
      </c>
      <c r="B75" s="348" t="s">
        <v>713</v>
      </c>
      <c r="C75" s="1229" t="s">
        <v>717</v>
      </c>
      <c r="D75" s="477">
        <v>25998218</v>
      </c>
      <c r="E75" s="477">
        <v>26879372.879290909</v>
      </c>
    </row>
    <row r="76" spans="1:6">
      <c r="A76" s="348" t="s">
        <v>65</v>
      </c>
      <c r="B76" s="348" t="s">
        <v>714</v>
      </c>
      <c r="C76" s="1229" t="s">
        <v>718</v>
      </c>
      <c r="D76" s="477">
        <v>933645.02727895952</v>
      </c>
      <c r="E76" s="477">
        <v>960092.7077450474</v>
      </c>
    </row>
    <row r="77" spans="1:6">
      <c r="A77" s="348" t="s">
        <v>66</v>
      </c>
      <c r="B77" s="348" t="s">
        <v>713</v>
      </c>
      <c r="C77" s="1229" t="s">
        <v>719</v>
      </c>
      <c r="D77" s="477">
        <v>33950025</v>
      </c>
      <c r="E77" s="477">
        <v>36203126.217399582</v>
      </c>
    </row>
    <row r="78" spans="1:6">
      <c r="A78" s="341" t="s">
        <v>66</v>
      </c>
      <c r="B78" s="341" t="s">
        <v>714</v>
      </c>
      <c r="C78" s="341" t="s">
        <v>720</v>
      </c>
      <c r="D78" s="1225">
        <v>8177061</v>
      </c>
      <c r="E78" s="1225">
        <v>8665928.4589117169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70891.945442081065</v>
      </c>
      <c r="C83" s="477">
        <v>71928.085690203443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22424.840037993705</v>
      </c>
    </row>
    <row r="91" spans="1:6">
      <c r="A91" s="348" t="s">
        <v>68</v>
      </c>
      <c r="B91" s="334">
        <v>2918.5168491516347</v>
      </c>
    </row>
    <row r="92" spans="1:6">
      <c r="A92" s="341" t="s">
        <v>69</v>
      </c>
      <c r="B92" s="342">
        <v>2794.1920624687291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132711.9956584727</v>
      </c>
      <c r="C3" s="43" t="s">
        <v>170</v>
      </c>
      <c r="D3" s="43"/>
      <c r="E3" s="154"/>
      <c r="F3" s="43"/>
      <c r="G3" s="43"/>
      <c r="H3" s="43"/>
      <c r="I3" s="43"/>
      <c r="J3" s="43"/>
      <c r="K3" s="96"/>
    </row>
    <row r="4" spans="1:11">
      <c r="A4" s="384" t="s">
        <v>171</v>
      </c>
      <c r="B4" s="49">
        <f>IF(ISERROR('SEAP template'!B69),0,'SEAP template'!B69)</f>
        <v>28137.548949614069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0.17414366054845992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1353.5609999999999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1353.5609999999999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0.17414366054845992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235.71406731563394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33321.360999999997</v>
      </c>
      <c r="C5" s="17">
        <f>IF(ISERROR('Eigen informatie GS &amp; warmtenet'!B57),0,'Eigen informatie GS &amp; warmtenet'!B57)</f>
        <v>0</v>
      </c>
      <c r="D5" s="30">
        <f>(SUM(HH_hh_gas_kWh,HH_rest_gas_kWh)/1000)*0.902</f>
        <v>81059.714667927314</v>
      </c>
      <c r="E5" s="17">
        <f>B46*B57</f>
        <v>2733.873410461636</v>
      </c>
      <c r="F5" s="17">
        <f>B51*B62</f>
        <v>8999.7872633945717</v>
      </c>
      <c r="G5" s="18"/>
      <c r="H5" s="17"/>
      <c r="I5" s="17"/>
      <c r="J5" s="17">
        <f>B50*B61+C50*C61</f>
        <v>2687.3106946775506</v>
      </c>
      <c r="K5" s="17"/>
      <c r="L5" s="17"/>
      <c r="M5" s="17"/>
      <c r="N5" s="17">
        <f>B48*B59+C48*C59</f>
        <v>12222.808429662435</v>
      </c>
      <c r="O5" s="17">
        <f>B69*B70*B71</f>
        <v>164.15</v>
      </c>
      <c r="P5" s="17">
        <f>B77*B78*B79/1000-B77*B78*B79/1000/B80</f>
        <v>343.2</v>
      </c>
    </row>
    <row r="6" spans="1:16">
      <c r="A6" s="16" t="s">
        <v>631</v>
      </c>
      <c r="B6" s="844">
        <f>kWh_PV_kleiner_dan_10kW</f>
        <v>2918.5168491516347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36239.877849151635</v>
      </c>
      <c r="C8" s="21">
        <f>C5</f>
        <v>0</v>
      </c>
      <c r="D8" s="21">
        <f>D5</f>
        <v>81059.714667927314</v>
      </c>
      <c r="E8" s="21">
        <f>E5</f>
        <v>2733.873410461636</v>
      </c>
      <c r="F8" s="21">
        <f>F5</f>
        <v>8999.7872633945717</v>
      </c>
      <c r="G8" s="21"/>
      <c r="H8" s="21"/>
      <c r="I8" s="21"/>
      <c r="J8" s="21">
        <f>J5</f>
        <v>2687.3106946775506</v>
      </c>
      <c r="K8" s="21"/>
      <c r="L8" s="21">
        <f>L5</f>
        <v>0</v>
      </c>
      <c r="M8" s="21">
        <f>M5</f>
        <v>0</v>
      </c>
      <c r="N8" s="21">
        <f>N5</f>
        <v>12222.808429662435</v>
      </c>
      <c r="O8" s="21">
        <f>O5</f>
        <v>164.15</v>
      </c>
      <c r="P8" s="21">
        <f>P5</f>
        <v>343.2</v>
      </c>
    </row>
    <row r="9" spans="1:16">
      <c r="B9" s="19"/>
      <c r="C9" s="19"/>
      <c r="D9" s="258"/>
      <c r="E9" s="19"/>
      <c r="F9" s="19"/>
      <c r="G9" s="19"/>
      <c r="H9" s="19"/>
      <c r="I9" s="19"/>
      <c r="J9" s="19"/>
      <c r="K9" s="19"/>
      <c r="L9" s="19"/>
      <c r="M9" s="19"/>
      <c r="N9" s="19"/>
      <c r="O9" s="19"/>
      <c r="P9" s="19"/>
    </row>
    <row r="10" spans="1:16">
      <c r="A10" s="24" t="s">
        <v>214</v>
      </c>
      <c r="B10" s="25">
        <f ca="1">'EF ele_warmte'!B12</f>
        <v>0.17414366054845992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6310.9449864803146</v>
      </c>
      <c r="C12" s="23">
        <f ca="1">C10*C8</f>
        <v>0</v>
      </c>
      <c r="D12" s="23">
        <f>D8*D10</f>
        <v>16374.062362921319</v>
      </c>
      <c r="E12" s="23">
        <f>E10*E8</f>
        <v>620.58926417479142</v>
      </c>
      <c r="F12" s="23">
        <f>F10*F8</f>
        <v>2402.9431993263506</v>
      </c>
      <c r="G12" s="23"/>
      <c r="H12" s="23"/>
      <c r="I12" s="23"/>
      <c r="J12" s="23">
        <f>J10*J8</f>
        <v>951.3079859158529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8202</v>
      </c>
      <c r="C28" s="36"/>
      <c r="D28" s="228"/>
    </row>
    <row r="29" spans="1:7" s="15" customFormat="1">
      <c r="A29" s="230" t="s">
        <v>741</v>
      </c>
      <c r="B29" s="37">
        <f>SUM(HH_hh_gas_aantal,HH_rest_gas_aantal)</f>
        <v>6010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6010</v>
      </c>
      <c r="C32" s="167">
        <f>IF(ISERROR(B32/SUM($B$32,$B$34,$B$35,$B$36,$B$38,$B$39)*100),0,B32/SUM($B$32,$B$34,$B$35,$B$36,$B$38,$B$39)*100)</f>
        <v>73.435972629521018</v>
      </c>
      <c r="D32" s="233"/>
      <c r="G32" s="15"/>
    </row>
    <row r="33" spans="1:7">
      <c r="A33" s="171" t="s">
        <v>72</v>
      </c>
      <c r="B33" s="34" t="s">
        <v>111</v>
      </c>
      <c r="C33" s="167"/>
      <c r="D33" s="233"/>
      <c r="G33" s="15"/>
    </row>
    <row r="34" spans="1:7">
      <c r="A34" s="171" t="s">
        <v>73</v>
      </c>
      <c r="B34" s="33">
        <f>IF((($B$28-$B$32-$B$39-$B$77-$B$38)*C20/100)&lt;0,0,($B$28-$B$32-$B$39-$B$77-$B$38)*C20/100)</f>
        <v>183.22939866369705</v>
      </c>
      <c r="C34" s="167">
        <f>IF(ISERROR(B34/SUM($B$32,$B$34,$B$35,$B$36,$B$38,$B$39)*100),0,B34/SUM($B$32,$B$34,$B$35,$B$36,$B$38,$B$39)*100)</f>
        <v>2.2388733952064643</v>
      </c>
      <c r="D34" s="233"/>
      <c r="G34" s="15"/>
    </row>
    <row r="35" spans="1:7">
      <c r="A35" s="171" t="s">
        <v>74</v>
      </c>
      <c r="B35" s="33">
        <f>IF((($B$28-$B$32-$B$39-$B$77-$B$38)*C21/100)&lt;0,0,($B$28-$B$32-$B$39-$B$77-$B$38)*C21/100)</f>
        <v>1332.7527839643653</v>
      </c>
      <c r="C35" s="167">
        <f>IF(ISERROR(B35/SUM($B$32,$B$34,$B$35,$B$36,$B$38,$B$39)*100),0,B35/SUM($B$32,$B$34,$B$35,$B$36,$B$38,$B$39)*100)</f>
        <v>16.284858064080709</v>
      </c>
      <c r="D35" s="233"/>
      <c r="G35" s="15"/>
    </row>
    <row r="36" spans="1:7">
      <c r="A36" s="171" t="s">
        <v>75</v>
      </c>
      <c r="B36" s="33">
        <f>IF((($B$28-$B$32-$B$39-$B$77-$B$38)*C22/100)&lt;0,0,($B$28-$B$32-$B$39-$B$77-$B$38)*C22/100)</f>
        <v>216.01781737193764</v>
      </c>
      <c r="C36" s="167">
        <f>IF(ISERROR(B36/SUM($B$32,$B$34,$B$35,$B$36,$B$38,$B$39)*100),0,B36/SUM($B$32,$B$34,$B$35,$B$36,$B$38,$B$39)*100)</f>
        <v>2.6395138975065695</v>
      </c>
      <c r="D36" s="233"/>
      <c r="G36" s="15"/>
    </row>
    <row r="37" spans="1:7">
      <c r="A37" s="171" t="s">
        <v>76</v>
      </c>
      <c r="B37" s="34" t="s">
        <v>111</v>
      </c>
      <c r="C37" s="167"/>
      <c r="D37" s="173"/>
      <c r="G37" s="15"/>
    </row>
    <row r="38" spans="1:7">
      <c r="A38" s="171" t="s">
        <v>77</v>
      </c>
      <c r="B38" s="33">
        <f>IF((B24-(B29-B18)*0.1)&lt;0,0,B24-(B29-B18)*0.1)</f>
        <v>76.399999999999977</v>
      </c>
      <c r="C38" s="167">
        <f>IF(ISERROR(B38/SUM($B$32,$B$34,$B$35,$B$36,$B$38,$B$39)*100),0,B38/SUM($B$32,$B$34,$B$35,$B$36,$B$38,$B$39)*100)</f>
        <v>0.93352883675464293</v>
      </c>
      <c r="D38" s="234"/>
      <c r="G38" s="15"/>
    </row>
    <row r="39" spans="1:7">
      <c r="A39" s="171" t="s">
        <v>78</v>
      </c>
      <c r="B39" s="33">
        <f>IF((B25-(B29-B18))&lt;0,0,B25-(B29-B18)*0.9)</f>
        <v>365.59999999999991</v>
      </c>
      <c r="C39" s="167">
        <f>IF(ISERROR(B39/SUM($B$32,$B$34,$B$35,$B$36,$B$38,$B$39)*100),0,B39/SUM($B$32,$B$34,$B$35,$B$36,$B$38,$B$39)*100)</f>
        <v>4.467253176930595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6010</v>
      </c>
      <c r="C44" s="34" t="s">
        <v>111</v>
      </c>
      <c r="D44" s="174"/>
    </row>
    <row r="45" spans="1:7">
      <c r="A45" s="171" t="s">
        <v>72</v>
      </c>
      <c r="B45" s="33" t="str">
        <f t="shared" si="0"/>
        <v>-</v>
      </c>
      <c r="C45" s="34" t="s">
        <v>111</v>
      </c>
      <c r="D45" s="174"/>
    </row>
    <row r="46" spans="1:7">
      <c r="A46" s="171" t="s">
        <v>73</v>
      </c>
      <c r="B46" s="33">
        <f t="shared" si="0"/>
        <v>183.22939866369705</v>
      </c>
      <c r="C46" s="34" t="s">
        <v>111</v>
      </c>
      <c r="D46" s="174"/>
    </row>
    <row r="47" spans="1:7">
      <c r="A47" s="171" t="s">
        <v>74</v>
      </c>
      <c r="B47" s="33">
        <f t="shared" si="0"/>
        <v>1332.7527839643653</v>
      </c>
      <c r="C47" s="34" t="s">
        <v>111</v>
      </c>
      <c r="D47" s="174"/>
    </row>
    <row r="48" spans="1:7">
      <c r="A48" s="171" t="s">
        <v>75</v>
      </c>
      <c r="B48" s="33">
        <f t="shared" si="0"/>
        <v>216.01781737193764</v>
      </c>
      <c r="C48" s="33">
        <f>B48*10</f>
        <v>2160.1781737193764</v>
      </c>
      <c r="D48" s="234"/>
    </row>
    <row r="49" spans="1:6">
      <c r="A49" s="171" t="s">
        <v>76</v>
      </c>
      <c r="B49" s="33" t="str">
        <f t="shared" si="0"/>
        <v>-</v>
      </c>
      <c r="C49" s="34" t="s">
        <v>111</v>
      </c>
      <c r="D49" s="234"/>
    </row>
    <row r="50" spans="1:6">
      <c r="A50" s="171" t="s">
        <v>77</v>
      </c>
      <c r="B50" s="33">
        <f t="shared" si="0"/>
        <v>76.399999999999977</v>
      </c>
      <c r="C50" s="33">
        <f>B50*2</f>
        <v>152.79999999999995</v>
      </c>
      <c r="D50" s="234"/>
    </row>
    <row r="51" spans="1:6">
      <c r="A51" s="171" t="s">
        <v>78</v>
      </c>
      <c r="B51" s="33">
        <f t="shared" si="0"/>
        <v>365.59999999999991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20456.4038</v>
      </c>
      <c r="C5" s="17">
        <f>IF(ISERROR('Eigen informatie GS &amp; warmtenet'!B58),0,'Eigen informatie GS &amp; warmtenet'!B58)</f>
        <v>0</v>
      </c>
      <c r="D5" s="30">
        <f>SUM(D6:D12)</f>
        <v>22383.809665051856</v>
      </c>
      <c r="E5" s="17">
        <f>SUM(E6:E12)</f>
        <v>191.53816436556818</v>
      </c>
      <c r="F5" s="17">
        <f>SUM(F6:F12)</f>
        <v>3148.2737096370984</v>
      </c>
      <c r="G5" s="18"/>
      <c r="H5" s="17"/>
      <c r="I5" s="17"/>
      <c r="J5" s="17">
        <f>SUM(J6:J12)</f>
        <v>0</v>
      </c>
      <c r="K5" s="17"/>
      <c r="L5" s="17"/>
      <c r="M5" s="17"/>
      <c r="N5" s="17">
        <f>SUM(N6:N12)</f>
        <v>2525.5015299376118</v>
      </c>
      <c r="O5" s="17">
        <f>B38*B39*B40</f>
        <v>4.6900000000000004</v>
      </c>
      <c r="P5" s="17">
        <f>B46*B47*B48/1000-B46*B47*B48/1000/B49</f>
        <v>38.133333333333333</v>
      </c>
      <c r="R5" s="32"/>
    </row>
    <row r="6" spans="1:18">
      <c r="A6" s="32" t="s">
        <v>54</v>
      </c>
      <c r="B6" s="37">
        <f>B26</f>
        <v>4231.29</v>
      </c>
      <c r="C6" s="33"/>
      <c r="D6" s="37">
        <f>IF(ISERROR(TER_kantoor_gas_kWh/1000),0,TER_kantoor_gas_kWh/1000)*0.902</f>
        <v>7302.0640332350458</v>
      </c>
      <c r="E6" s="33">
        <f>$C$26*'E Balans VL '!I12/100/3.6*1000000</f>
        <v>12.258667948270437</v>
      </c>
      <c r="F6" s="33">
        <f>$C$26*('E Balans VL '!L12+'E Balans VL '!N12)/100/3.6*1000000</f>
        <v>478.88880545353743</v>
      </c>
      <c r="G6" s="34"/>
      <c r="H6" s="33"/>
      <c r="I6" s="33"/>
      <c r="J6" s="33">
        <f>$C$26*('E Balans VL '!D12+'E Balans VL '!E12)/100/3.6*1000000</f>
        <v>0</v>
      </c>
      <c r="K6" s="33"/>
      <c r="L6" s="33"/>
      <c r="M6" s="33"/>
      <c r="N6" s="33">
        <f>$C$26*'E Balans VL '!Y12/100/3.6*1000000</f>
        <v>42.352095146324139</v>
      </c>
      <c r="O6" s="33"/>
      <c r="P6" s="33"/>
      <c r="R6" s="32"/>
    </row>
    <row r="7" spans="1:18">
      <c r="A7" s="32" t="s">
        <v>53</v>
      </c>
      <c r="B7" s="37">
        <f t="shared" ref="B7:B12" si="0">B27</f>
        <v>1470.492</v>
      </c>
      <c r="C7" s="33"/>
      <c r="D7" s="37">
        <f>IF(ISERROR(TER_horeca_gas_kWh/1000),0,TER_horeca_gas_kWh/1000)*0.902</f>
        <v>1766.3834625839083</v>
      </c>
      <c r="E7" s="33">
        <f>$C$27*'E Balans VL '!I9/100/3.6*1000000</f>
        <v>61.727145686551189</v>
      </c>
      <c r="F7" s="33">
        <f>$C$27*('E Balans VL '!L9+'E Balans VL '!N9)/100/3.6*1000000</f>
        <v>315.96536147857302</v>
      </c>
      <c r="G7" s="34"/>
      <c r="H7" s="33"/>
      <c r="I7" s="33"/>
      <c r="J7" s="33">
        <f>$C$27*('E Balans VL '!D9+'E Balans VL '!E9)/100/3.6*1000000</f>
        <v>0</v>
      </c>
      <c r="K7" s="33"/>
      <c r="L7" s="33"/>
      <c r="M7" s="33"/>
      <c r="N7" s="33">
        <f>$C$27*'E Balans VL '!Y9/100/3.6*1000000</f>
        <v>0.37893292848093674</v>
      </c>
      <c r="O7" s="33"/>
      <c r="P7" s="33"/>
      <c r="R7" s="32"/>
    </row>
    <row r="8" spans="1:18">
      <c r="A8" s="6" t="s">
        <v>52</v>
      </c>
      <c r="B8" s="37">
        <f t="shared" si="0"/>
        <v>5903.1940000000004</v>
      </c>
      <c r="C8" s="33"/>
      <c r="D8" s="37">
        <f>IF(ISERROR(TER_handel_gas_kWh/1000),0,TER_handel_gas_kWh/1000)*0.902</f>
        <v>3530.9881594973031</v>
      </c>
      <c r="E8" s="33">
        <f>$C$28*'E Balans VL '!I13/100/3.6*1000000</f>
        <v>63.405216648703842</v>
      </c>
      <c r="F8" s="33">
        <f>$C$28*('E Balans VL '!L13+'E Balans VL '!N13)/100/3.6*1000000</f>
        <v>764.21721087113099</v>
      </c>
      <c r="G8" s="34"/>
      <c r="H8" s="33"/>
      <c r="I8" s="33"/>
      <c r="J8" s="33">
        <f>$C$28*('E Balans VL '!D13+'E Balans VL '!E13)/100/3.6*1000000</f>
        <v>0</v>
      </c>
      <c r="K8" s="33"/>
      <c r="L8" s="33"/>
      <c r="M8" s="33"/>
      <c r="N8" s="33">
        <f>$C$28*'E Balans VL '!Y13/100/3.6*1000000</f>
        <v>47.887032056407087</v>
      </c>
      <c r="O8" s="33"/>
      <c r="P8" s="33"/>
      <c r="R8" s="32"/>
    </row>
    <row r="9" spans="1:18">
      <c r="A9" s="32" t="s">
        <v>51</v>
      </c>
      <c r="B9" s="37">
        <f t="shared" si="0"/>
        <v>485.18990000000002</v>
      </c>
      <c r="C9" s="33"/>
      <c r="D9" s="37">
        <f>IF(ISERROR(TER_gezond_gas_kWh/1000),0,TER_gezond_gas_kWh/1000)*0.902</f>
        <v>680.63609416095039</v>
      </c>
      <c r="E9" s="33">
        <f>$C$29*'E Balans VL '!I10/100/3.6*1000000</f>
        <v>0.38624254164200367</v>
      </c>
      <c r="F9" s="33">
        <f>$C$29*('E Balans VL '!L10+'E Balans VL '!N10)/100/3.6*1000000</f>
        <v>58.981843970594952</v>
      </c>
      <c r="G9" s="34"/>
      <c r="H9" s="33"/>
      <c r="I9" s="33"/>
      <c r="J9" s="33">
        <f>$C$29*('E Balans VL '!D10+'E Balans VL '!E10)/100/3.6*1000000</f>
        <v>0</v>
      </c>
      <c r="K9" s="33"/>
      <c r="L9" s="33"/>
      <c r="M9" s="33"/>
      <c r="N9" s="33">
        <f>$C$29*'E Balans VL '!Y10/100/3.6*1000000</f>
        <v>3.9192354695817215</v>
      </c>
      <c r="O9" s="33"/>
      <c r="P9" s="33"/>
      <c r="R9" s="32"/>
    </row>
    <row r="10" spans="1:18">
      <c r="A10" s="32" t="s">
        <v>50</v>
      </c>
      <c r="B10" s="37">
        <f t="shared" si="0"/>
        <v>2868.1990000000001</v>
      </c>
      <c r="C10" s="33"/>
      <c r="D10" s="37">
        <f>IF(ISERROR(TER_ander_gas_kWh/1000),0,TER_ander_gas_kWh/1000)*0.902</f>
        <v>1581.4289410085012</v>
      </c>
      <c r="E10" s="33">
        <f>$C$30*'E Balans VL '!I14/100/3.6*1000000</f>
        <v>9.8294686488609297</v>
      </c>
      <c r="F10" s="33">
        <f>$C$30*('E Balans VL '!L14+'E Balans VL '!N14)/100/3.6*1000000</f>
        <v>640.63910672180782</v>
      </c>
      <c r="G10" s="34"/>
      <c r="H10" s="33"/>
      <c r="I10" s="33"/>
      <c r="J10" s="33">
        <f>$C$30*('E Balans VL '!D14+'E Balans VL '!E14)/100/3.6*1000000</f>
        <v>0</v>
      </c>
      <c r="K10" s="33"/>
      <c r="L10" s="33"/>
      <c r="M10" s="33"/>
      <c r="N10" s="33">
        <f>$C$30*'E Balans VL '!Y14/100/3.6*1000000</f>
        <v>2020.3750442648566</v>
      </c>
      <c r="O10" s="33"/>
      <c r="P10" s="33"/>
      <c r="R10" s="32"/>
    </row>
    <row r="11" spans="1:18">
      <c r="A11" s="32" t="s">
        <v>55</v>
      </c>
      <c r="B11" s="37">
        <f t="shared" si="0"/>
        <v>691.88689999999997</v>
      </c>
      <c r="C11" s="33"/>
      <c r="D11" s="37">
        <f>IF(ISERROR(TER_onderwijs_gas_kWh/1000),0,TER_onderwijs_gas_kWh/1000)*0.902</f>
        <v>1893.9419208258844</v>
      </c>
      <c r="E11" s="33">
        <f>$C$31*'E Balans VL '!I11/100/3.6*1000000</f>
        <v>0.47828010553048073</v>
      </c>
      <c r="F11" s="33">
        <f>$C$31*('E Balans VL '!L11+'E Balans VL '!N11)/100/3.6*1000000</f>
        <v>181.11589246923373</v>
      </c>
      <c r="G11" s="34"/>
      <c r="H11" s="33"/>
      <c r="I11" s="33"/>
      <c r="J11" s="33">
        <f>$C$31*('E Balans VL '!D11+'E Balans VL '!E11)/100/3.6*1000000</f>
        <v>0</v>
      </c>
      <c r="K11" s="33"/>
      <c r="L11" s="33"/>
      <c r="M11" s="33"/>
      <c r="N11" s="33">
        <f>$C$31*'E Balans VL '!Y11/100/3.6*1000000</f>
        <v>0.68871447862091051</v>
      </c>
      <c r="O11" s="33"/>
      <c r="P11" s="33"/>
      <c r="R11" s="32"/>
    </row>
    <row r="12" spans="1:18">
      <c r="A12" s="32" t="s">
        <v>260</v>
      </c>
      <c r="B12" s="37">
        <f t="shared" si="0"/>
        <v>4806.152</v>
      </c>
      <c r="C12" s="33"/>
      <c r="D12" s="37">
        <f>IF(ISERROR(TER_rest_gas_kWh/1000),0,TER_rest_gas_kWh/1000)*0.902</f>
        <v>5628.3670537402604</v>
      </c>
      <c r="E12" s="33">
        <f>$C$32*'E Balans VL '!I8/100/3.6*1000000</f>
        <v>43.453142786009288</v>
      </c>
      <c r="F12" s="33">
        <f>$C$32*('E Balans VL '!L8+'E Balans VL '!N8)/100/3.6*1000000</f>
        <v>708.46548867222032</v>
      </c>
      <c r="G12" s="34"/>
      <c r="H12" s="33"/>
      <c r="I12" s="33"/>
      <c r="J12" s="33">
        <f>$C$32*('E Balans VL '!D8+'E Balans VL '!E8)/100/3.6*1000000</f>
        <v>0</v>
      </c>
      <c r="K12" s="33"/>
      <c r="L12" s="33"/>
      <c r="M12" s="33"/>
      <c r="N12" s="33">
        <f>$C$32*'E Balans VL '!Y8/100/3.6*1000000</f>
        <v>409.90047559334039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20456.4038</v>
      </c>
      <c r="C16" s="21">
        <f t="shared" ca="1" si="1"/>
        <v>0</v>
      </c>
      <c r="D16" s="21">
        <f t="shared" ca="1" si="1"/>
        <v>22383.809665051856</v>
      </c>
      <c r="E16" s="21">
        <f t="shared" si="1"/>
        <v>191.53816436556818</v>
      </c>
      <c r="F16" s="21">
        <f t="shared" ca="1" si="1"/>
        <v>3148.2737096370984</v>
      </c>
      <c r="G16" s="21">
        <f t="shared" si="1"/>
        <v>0</v>
      </c>
      <c r="H16" s="21">
        <f t="shared" si="1"/>
        <v>0</v>
      </c>
      <c r="I16" s="21">
        <f t="shared" si="1"/>
        <v>0</v>
      </c>
      <c r="J16" s="21">
        <f t="shared" si="1"/>
        <v>0</v>
      </c>
      <c r="K16" s="21">
        <f t="shared" si="1"/>
        <v>0</v>
      </c>
      <c r="L16" s="21">
        <f t="shared" ca="1" si="1"/>
        <v>0</v>
      </c>
      <c r="M16" s="21">
        <f t="shared" si="1"/>
        <v>0</v>
      </c>
      <c r="N16" s="21">
        <f t="shared" ca="1" si="1"/>
        <v>2525.5015299376118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0.17414366054845992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3562.3530393894257</v>
      </c>
      <c r="C20" s="23">
        <f t="shared" ref="C20:P20" ca="1" si="2">C16*C18</f>
        <v>0</v>
      </c>
      <c r="D20" s="23">
        <f t="shared" ca="1" si="2"/>
        <v>4521.5295523404757</v>
      </c>
      <c r="E20" s="23">
        <f t="shared" si="2"/>
        <v>43.479163310983978</v>
      </c>
      <c r="F20" s="23">
        <f t="shared" ca="1" si="2"/>
        <v>840.58908047310535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4231.29</v>
      </c>
      <c r="C26" s="39">
        <f>IF(ISERROR(B26*3.6/1000000/'E Balans VL '!Z12*100),0,B26*3.6/1000000/'E Balans VL '!Z12*100)</f>
        <v>9.2945176711097491E-2</v>
      </c>
      <c r="D26" s="237" t="s">
        <v>692</v>
      </c>
      <c r="F26" s="6"/>
    </row>
    <row r="27" spans="1:18">
      <c r="A27" s="231" t="s">
        <v>53</v>
      </c>
      <c r="B27" s="33">
        <f>IF(ISERROR(TER_horeca_ele_kWh/1000),0,TER_horeca_ele_kWh/1000)</f>
        <v>1470.492</v>
      </c>
      <c r="C27" s="39">
        <f>IF(ISERROR(B27*3.6/1000000/'E Balans VL '!Z9*100),0,B27*3.6/1000000/'E Balans VL '!Z9*100)</f>
        <v>0.11816869023738324</v>
      </c>
      <c r="D27" s="237" t="s">
        <v>692</v>
      </c>
      <c r="F27" s="6"/>
    </row>
    <row r="28" spans="1:18">
      <c r="A28" s="171" t="s">
        <v>52</v>
      </c>
      <c r="B28" s="33">
        <f>IF(ISERROR(TER_handel_ele_kWh/1000),0,TER_handel_ele_kWh/1000)</f>
        <v>5903.1940000000004</v>
      </c>
      <c r="C28" s="39">
        <f>IF(ISERROR(B28*3.6/1000000/'E Balans VL '!Z13*100),0,B28*3.6/1000000/'E Balans VL '!Z13*100)</f>
        <v>0.17455332252208053</v>
      </c>
      <c r="D28" s="237" t="s">
        <v>692</v>
      </c>
      <c r="F28" s="6"/>
    </row>
    <row r="29" spans="1:18">
      <c r="A29" s="231" t="s">
        <v>51</v>
      </c>
      <c r="B29" s="33">
        <f>IF(ISERROR(TER_gezond_ele_kWh/1000),0,TER_gezond_ele_kWh/1000)</f>
        <v>485.18990000000002</v>
      </c>
      <c r="C29" s="39">
        <f>IF(ISERROR(B29*3.6/1000000/'E Balans VL '!Z10*100),0,B29*3.6/1000000/'E Balans VL '!Z10*100)</f>
        <v>5.4668375230995679E-2</v>
      </c>
      <c r="D29" s="237" t="s">
        <v>692</v>
      </c>
      <c r="F29" s="6"/>
    </row>
    <row r="30" spans="1:18">
      <c r="A30" s="231" t="s">
        <v>50</v>
      </c>
      <c r="B30" s="33">
        <f>IF(ISERROR(TER_ander_ele_kWh/1000),0,TER_ander_ele_kWh/1000)</f>
        <v>2868.1990000000001</v>
      </c>
      <c r="C30" s="39">
        <f>IF(ISERROR(B30*3.6/1000000/'E Balans VL '!Z14*100),0,B30*3.6/1000000/'E Balans VL '!Z14*100)</f>
        <v>0.21691698740527671</v>
      </c>
      <c r="D30" s="237" t="s">
        <v>692</v>
      </c>
      <c r="F30" s="6"/>
    </row>
    <row r="31" spans="1:18">
      <c r="A31" s="231" t="s">
        <v>55</v>
      </c>
      <c r="B31" s="33">
        <f>IF(ISERROR(TER_onderwijs_ele_kWh/1000),0,TER_onderwijs_ele_kWh/1000)</f>
        <v>691.88689999999997</v>
      </c>
      <c r="C31" s="39">
        <f>IF(ISERROR(B31*3.6/1000000/'E Balans VL '!Z11*100),0,B31*3.6/1000000/'E Balans VL '!Z11*100)</f>
        <v>0.14361965897514201</v>
      </c>
      <c r="D31" s="237" t="s">
        <v>692</v>
      </c>
    </row>
    <row r="32" spans="1:18">
      <c r="A32" s="231" t="s">
        <v>260</v>
      </c>
      <c r="B32" s="33">
        <f>IF(ISERROR(TER_rest_ele_kWh/1000),0,TER_rest_ele_kWh/1000)</f>
        <v>4806.152</v>
      </c>
      <c r="C32" s="39">
        <f>IF(ISERROR(B32*3.6/1000000/'E Balans VL '!Z8*100),0,B32*3.6/1000000/'E Balans VL '!Z8*100)</f>
        <v>4.0489003236526058E-2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73183.8033</v>
      </c>
      <c r="C5" s="17">
        <f>IF(ISERROR('Eigen informatie GS &amp; warmtenet'!B59),0,'Eigen informatie GS &amp; warmtenet'!B59)</f>
        <v>0</v>
      </c>
      <c r="D5" s="30">
        <f>SUM(D6:D15)</f>
        <v>43939.368216431911</v>
      </c>
      <c r="E5" s="17">
        <f>SUM(E6:E15)</f>
        <v>3813.7734061136448</v>
      </c>
      <c r="F5" s="17">
        <f>SUM(F6:F15)</f>
        <v>29673.095962492625</v>
      </c>
      <c r="G5" s="18"/>
      <c r="H5" s="17"/>
      <c r="I5" s="17"/>
      <c r="J5" s="17">
        <f>SUM(J6:J15)</f>
        <v>413.98092908767319</v>
      </c>
      <c r="K5" s="17"/>
      <c r="L5" s="17"/>
      <c r="M5" s="17"/>
      <c r="N5" s="17">
        <f>SUM(N6:N15)</f>
        <v>17235.826795130713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1470.5039999999999</v>
      </c>
      <c r="C8" s="33"/>
      <c r="D8" s="37">
        <f>IF( ISERROR(IND_metaal_Gas_kWH/1000),0,IND_metaal_Gas_kWH/1000)*0.902</f>
        <v>145.05157412874931</v>
      </c>
      <c r="E8" s="33">
        <f>C30*'E Balans VL '!I18/100/3.6*1000000</f>
        <v>36.801568466259859</v>
      </c>
      <c r="F8" s="33">
        <f>C30*'E Balans VL '!L18/100/3.6*1000000+C30*'E Balans VL '!N18/100/3.6*1000000</f>
        <v>460.86326826307419</v>
      </c>
      <c r="G8" s="34"/>
      <c r="H8" s="33"/>
      <c r="I8" s="33"/>
      <c r="J8" s="40">
        <f>C30*'E Balans VL '!D18/100/3.6*1000000+C30*'E Balans VL '!E18/100/3.6*1000000</f>
        <v>0</v>
      </c>
      <c r="K8" s="33"/>
      <c r="L8" s="33"/>
      <c r="M8" s="33"/>
      <c r="N8" s="33">
        <f>C30*'E Balans VL '!Y18/100/3.6*1000000</f>
        <v>36.942876770663105</v>
      </c>
      <c r="O8" s="33"/>
      <c r="P8" s="33"/>
      <c r="R8" s="32"/>
    </row>
    <row r="9" spans="1:18">
      <c r="A9" s="6" t="s">
        <v>33</v>
      </c>
      <c r="B9" s="37">
        <f t="shared" si="0"/>
        <v>2912.9189999999999</v>
      </c>
      <c r="C9" s="33"/>
      <c r="D9" s="37">
        <f>IF( ISERROR(IND_andere_gas_kWh/1000),0,IND_andere_gas_kWh/1000)*0.902</f>
        <v>2439.9955566585395</v>
      </c>
      <c r="E9" s="33">
        <f>C31*'E Balans VL '!I19/100/3.6*1000000</f>
        <v>800.93325146527366</v>
      </c>
      <c r="F9" s="33">
        <f>C31*'E Balans VL '!L19/100/3.6*1000000+C31*'E Balans VL '!N19/100/3.6*1000000</f>
        <v>2295.8870562992579</v>
      </c>
      <c r="G9" s="34"/>
      <c r="H9" s="33"/>
      <c r="I9" s="33"/>
      <c r="J9" s="40">
        <f>C31*'E Balans VL '!D19/100/3.6*1000000+C31*'E Balans VL '!E19/100/3.6*1000000</f>
        <v>0</v>
      </c>
      <c r="K9" s="33"/>
      <c r="L9" s="33"/>
      <c r="M9" s="33"/>
      <c r="N9" s="33">
        <f>C31*'E Balans VL '!Y19/100/3.6*1000000</f>
        <v>942.98876849519502</v>
      </c>
      <c r="O9" s="33"/>
      <c r="P9" s="33"/>
      <c r="R9" s="32"/>
    </row>
    <row r="10" spans="1:18">
      <c r="A10" s="6" t="s">
        <v>41</v>
      </c>
      <c r="B10" s="37">
        <f t="shared" si="0"/>
        <v>7334.6779999999999</v>
      </c>
      <c r="C10" s="33"/>
      <c r="D10" s="37">
        <f>IF( ISERROR(IND_voed_gas_kWh/1000),0,IND_voed_gas_kWh/1000)*0.902</f>
        <v>6065.0881544574477</v>
      </c>
      <c r="E10" s="33">
        <f>C32*'E Balans VL '!I20/100/3.6*1000000</f>
        <v>74.773001512833503</v>
      </c>
      <c r="F10" s="33">
        <f>C32*'E Balans VL '!L20/100/3.6*1000000+C32*'E Balans VL '!N20/100/3.6*1000000</f>
        <v>13855.16086801737</v>
      </c>
      <c r="G10" s="34"/>
      <c r="H10" s="33"/>
      <c r="I10" s="33"/>
      <c r="J10" s="40">
        <f>C32*'E Balans VL '!D20/100/3.6*1000000+C32*'E Balans VL '!E20/100/3.6*1000000</f>
        <v>175.54284371506981</v>
      </c>
      <c r="K10" s="33"/>
      <c r="L10" s="33"/>
      <c r="M10" s="33"/>
      <c r="N10" s="33">
        <f>C32*'E Balans VL '!Y20/100/3.6*1000000</f>
        <v>3866.2201573069206</v>
      </c>
      <c r="O10" s="33"/>
      <c r="P10" s="33"/>
      <c r="R10" s="32"/>
    </row>
    <row r="11" spans="1:18">
      <c r="A11" s="6" t="s">
        <v>40</v>
      </c>
      <c r="B11" s="37">
        <f t="shared" si="0"/>
        <v>591.55029999999999</v>
      </c>
      <c r="C11" s="33"/>
      <c r="D11" s="37">
        <f>IF( ISERROR(IND_textiel_gas_kWh/1000),0,IND_textiel_gas_kWh/1000)*0.902</f>
        <v>0</v>
      </c>
      <c r="E11" s="33">
        <f>C33*'E Balans VL '!I21/100/3.6*1000000</f>
        <v>1.5678976917603329</v>
      </c>
      <c r="F11" s="33">
        <f>C33*'E Balans VL '!L21/100/3.6*1000000+C33*'E Balans VL '!N21/100/3.6*1000000</f>
        <v>26.41924662757334</v>
      </c>
      <c r="G11" s="34"/>
      <c r="H11" s="33"/>
      <c r="I11" s="33"/>
      <c r="J11" s="40">
        <f>C33*'E Balans VL '!D21/100/3.6*1000000+C33*'E Balans VL '!E21/100/3.6*1000000</f>
        <v>0</v>
      </c>
      <c r="K11" s="33"/>
      <c r="L11" s="33"/>
      <c r="M11" s="33"/>
      <c r="N11" s="33">
        <f>C33*'E Balans VL '!Y21/100/3.6*1000000</f>
        <v>5.5749387124349825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4039.99</v>
      </c>
      <c r="C13" s="33"/>
      <c r="D13" s="37">
        <f>IF( ISERROR(IND_papier_gas_kWh/1000),0,IND_papier_gas_kWh/1000)*0.902</f>
        <v>549.32291466734296</v>
      </c>
      <c r="E13" s="33">
        <f>C35*'E Balans VL '!I23/100/3.6*1000000</f>
        <v>8.3670919827586729</v>
      </c>
      <c r="F13" s="33">
        <f>C35*'E Balans VL '!L23/100/3.6*1000000+C35*'E Balans VL '!N23/100/3.6*1000000</f>
        <v>80.121662750172973</v>
      </c>
      <c r="G13" s="34"/>
      <c r="H13" s="33"/>
      <c r="I13" s="33"/>
      <c r="J13" s="40">
        <f>C35*'E Balans VL '!D23/100/3.6*1000000+C35*'E Balans VL '!E23/100/3.6*1000000</f>
        <v>0</v>
      </c>
      <c r="K13" s="33"/>
      <c r="L13" s="33"/>
      <c r="M13" s="33"/>
      <c r="N13" s="33">
        <f>C35*'E Balans VL '!Y23/100/3.6*1000000</f>
        <v>1705.87716739354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56834.161999999997</v>
      </c>
      <c r="C15" s="33"/>
      <c r="D15" s="37">
        <f>IF( ISERROR(IND_rest_gas_kWh/1000),0,IND_rest_gas_kWh/1000)*0.902</f>
        <v>34739.910016519832</v>
      </c>
      <c r="E15" s="33">
        <f>C37*'E Balans VL '!I15/100/3.6*1000000</f>
        <v>2891.3305949947589</v>
      </c>
      <c r="F15" s="33">
        <f>C37*'E Balans VL '!L15/100/3.6*1000000+C37*'E Balans VL '!N15/100/3.6*1000000</f>
        <v>12954.643860535174</v>
      </c>
      <c r="G15" s="34"/>
      <c r="H15" s="33"/>
      <c r="I15" s="33"/>
      <c r="J15" s="40">
        <f>C37*'E Balans VL '!D15/100/3.6*1000000+C37*'E Balans VL '!E15/100/3.6*1000000</f>
        <v>238.43808537260335</v>
      </c>
      <c r="K15" s="33"/>
      <c r="L15" s="33"/>
      <c r="M15" s="33"/>
      <c r="N15" s="33">
        <f>C37*'E Balans VL '!Y15/100/3.6*1000000</f>
        <v>10678.222886451962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73183.8033</v>
      </c>
      <c r="C18" s="21">
        <f>C5+C16</f>
        <v>0</v>
      </c>
      <c r="D18" s="21">
        <f>MAX((D5+D16),0)</f>
        <v>43939.368216431911</v>
      </c>
      <c r="E18" s="21">
        <f>MAX((E5+E16),0)</f>
        <v>3813.7734061136448</v>
      </c>
      <c r="F18" s="21">
        <f>MAX((F5+F16),0)</f>
        <v>29673.095962492625</v>
      </c>
      <c r="G18" s="21"/>
      <c r="H18" s="21"/>
      <c r="I18" s="21"/>
      <c r="J18" s="21">
        <f>MAX((J5+J16),0)</f>
        <v>413.98092908767319</v>
      </c>
      <c r="K18" s="21"/>
      <c r="L18" s="21">
        <f>MAX((L5+L16),0)</f>
        <v>0</v>
      </c>
      <c r="M18" s="21"/>
      <c r="N18" s="21">
        <f>MAX((N5+N16),0)</f>
        <v>17235.826795130713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0.17414366054845992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12744.495399520461</v>
      </c>
      <c r="C22" s="23">
        <f ca="1">C18*C20</f>
        <v>0</v>
      </c>
      <c r="D22" s="23">
        <f>D18*D20</f>
        <v>8875.7523797192462</v>
      </c>
      <c r="E22" s="23">
        <f>E18*E20</f>
        <v>865.72656318779741</v>
      </c>
      <c r="F22" s="23">
        <f>F18*F20</f>
        <v>7922.7166219855317</v>
      </c>
      <c r="G22" s="23"/>
      <c r="H22" s="23"/>
      <c r="I22" s="23"/>
      <c r="J22" s="23">
        <f>J18*J20</f>
        <v>146.54924889703631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1470.5039999999999</v>
      </c>
      <c r="C30" s="39">
        <f>IF(ISERROR(B30*3.6/1000000/'E Balans VL '!Z18*100),0,B30*3.6/1000000/'E Balans VL '!Z18*100)</f>
        <v>0.20582155491282583</v>
      </c>
      <c r="D30" s="237" t="s">
        <v>692</v>
      </c>
    </row>
    <row r="31" spans="1:18">
      <c r="A31" s="6" t="s">
        <v>33</v>
      </c>
      <c r="B31" s="37">
        <f>IF( ISERROR(IND_ander_ele_kWh/1000),0,IND_ander_ele_kWh/1000)</f>
        <v>2912.9189999999999</v>
      </c>
      <c r="C31" s="39">
        <f>IF(ISERROR(B31*3.6/1000000/'E Balans VL '!Z19*100),0,B31*3.6/1000000/'E Balans VL '!Z19*100)</f>
        <v>0.12749799208740201</v>
      </c>
      <c r="D31" s="237" t="s">
        <v>692</v>
      </c>
    </row>
    <row r="32" spans="1:18">
      <c r="A32" s="171" t="s">
        <v>41</v>
      </c>
      <c r="B32" s="37">
        <f>IF( ISERROR(IND_voed_ele_kWh/1000),0,IND_voed_ele_kWh/1000)</f>
        <v>7334.6779999999999</v>
      </c>
      <c r="C32" s="39">
        <f>IF(ISERROR(B32*3.6/1000000/'E Balans VL '!Z20*100),0,B32*3.6/1000000/'E Balans VL '!Z20*100)</f>
        <v>1.8158227001579577</v>
      </c>
      <c r="D32" s="237" t="s">
        <v>692</v>
      </c>
    </row>
    <row r="33" spans="1:5">
      <c r="A33" s="171" t="s">
        <v>40</v>
      </c>
      <c r="B33" s="37">
        <f>IF( ISERROR(IND_textiel_ele_kWh/1000),0,IND_textiel_ele_kWh/1000)</f>
        <v>591.55029999999999</v>
      </c>
      <c r="C33" s="39">
        <f>IF(ISERROR(B33*3.6/1000000/'E Balans VL '!Z21*100),0,B33*3.6/1000000/'E Balans VL '!Z21*100)</f>
        <v>6.6657298555463457E-2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4039.99</v>
      </c>
      <c r="C35" s="39">
        <f>IF(ISERROR(B35*3.6/1000000/'E Balans VL '!Z22*100),0,B35*3.6/1000000/'E Balans VL '!Z22*100)</f>
        <v>0.11463843392663081</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56834.161999999997</v>
      </c>
      <c r="C37" s="39">
        <f>IF(ISERROR(B37*3.6/1000000/'E Balans VL '!Z15*100),0,B37*3.6/1000000/'E Balans VL '!Z15*100)</f>
        <v>0.42141558080970876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1461.7073400000002</v>
      </c>
      <c r="C5" s="17">
        <f>'Eigen informatie GS &amp; warmtenet'!B60</f>
        <v>0</v>
      </c>
      <c r="D5" s="30">
        <f>IF(ISERROR(SUM(LB_lb_gas_kWh,LB_rest_gas_kWh,onbekend_gas_kWh)/1000),0,SUM(LB_lb_gas_kWh,LB_rest_gas_kWh,onbekend_gas_kWh)/1000)*0.902</f>
        <v>2298.014865724891</v>
      </c>
      <c r="E5" s="17">
        <f>B17*'E Balans VL '!I25/3.6*1000000/100</f>
        <v>13.538945602390367</v>
      </c>
      <c r="F5" s="17">
        <f>B17*('E Balans VL '!L25/3.6*1000000+'E Balans VL '!N25/3.6*1000000)/100</f>
        <v>3708.6299765425142</v>
      </c>
      <c r="G5" s="18"/>
      <c r="H5" s="17"/>
      <c r="I5" s="17"/>
      <c r="J5" s="17">
        <f>('E Balans VL '!D25+'E Balans VL '!E25)/3.6*1000000*landbouw!B17/100</f>
        <v>224.09604792352459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1461.7073400000002</v>
      </c>
      <c r="C8" s="21">
        <f>C5+C6</f>
        <v>0</v>
      </c>
      <c r="D8" s="21">
        <f>MAX((D5+D6),0)</f>
        <v>2298.014865724891</v>
      </c>
      <c r="E8" s="21">
        <f>MAX((E5+E6),0)</f>
        <v>13.538945602390367</v>
      </c>
      <c r="F8" s="21">
        <f>MAX((F5+F6),0)</f>
        <v>3708.6299765425142</v>
      </c>
      <c r="G8" s="21"/>
      <c r="H8" s="21"/>
      <c r="I8" s="21"/>
      <c r="J8" s="21">
        <f>MAX((J5+J6),0)</f>
        <v>224.09604792352459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0.17414366054845992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254.54706683815232</v>
      </c>
      <c r="C12" s="23">
        <f ca="1">C8*C10</f>
        <v>0</v>
      </c>
      <c r="D12" s="23">
        <f>D8*D10</f>
        <v>464.19900287642804</v>
      </c>
      <c r="E12" s="23">
        <f>E8*E10</f>
        <v>3.0733406517426132</v>
      </c>
      <c r="F12" s="23">
        <f>F8*F10</f>
        <v>990.20420373685135</v>
      </c>
      <c r="G12" s="23"/>
      <c r="H12" s="23"/>
      <c r="I12" s="23"/>
      <c r="J12" s="23">
        <f>J8*J10</f>
        <v>79.330000964927706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0.20782379019518524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467.61840946549751</v>
      </c>
      <c r="C26" s="247">
        <f>B26*'GWP N2O_CH4'!B5</f>
        <v>9819.9865987754474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111.05948642293131</v>
      </c>
      <c r="C27" s="247">
        <f>B27*'GWP N2O_CH4'!B5</f>
        <v>2332.2492148815577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6.2825149523738784</v>
      </c>
      <c r="C28" s="247">
        <f>B28*'GWP N2O_CH4'!B4</f>
        <v>1947.5796352359023</v>
      </c>
      <c r="D28" s="50"/>
    </row>
    <row r="29" spans="1:4">
      <c r="A29" s="41" t="s">
        <v>277</v>
      </c>
      <c r="B29" s="247">
        <f>B34*'ha_N2O bodem landbouw'!B4</f>
        <v>12.994642170717949</v>
      </c>
      <c r="C29" s="247">
        <f>B29*'GWP N2O_CH4'!B4</f>
        <v>4028.3390729225644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2.9144693082478147E-3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5.9912529555934929E-5</v>
      </c>
      <c r="C5" s="464" t="s">
        <v>211</v>
      </c>
      <c r="D5" s="449">
        <f>SUM(D6:D11)</f>
        <v>1.6327195038008216E-4</v>
      </c>
      <c r="E5" s="449">
        <f>SUM(E6:E11)</f>
        <v>1.1020519059789663E-3</v>
      </c>
      <c r="F5" s="462" t="s">
        <v>211</v>
      </c>
      <c r="G5" s="449">
        <f>SUM(G6:G11)</f>
        <v>0.35232463120026875</v>
      </c>
      <c r="H5" s="449">
        <f>SUM(H6:H11)</f>
        <v>6.2289770416530062E-2</v>
      </c>
      <c r="I5" s="464" t="s">
        <v>211</v>
      </c>
      <c r="J5" s="464" t="s">
        <v>211</v>
      </c>
      <c r="K5" s="464" t="s">
        <v>211</v>
      </c>
      <c r="L5" s="464" t="s">
        <v>211</v>
      </c>
      <c r="M5" s="449">
        <f>SUM(M6:M11)</f>
        <v>2.2297879658124846E-2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3.033450552405781E-5</v>
      </c>
      <c r="C6" s="450"/>
      <c r="D6" s="963">
        <f>vkm_2011_GW_PW*SUMIFS(TableVerdeelsleutelVkm[CNG],TableVerdeelsleutelVkm[Voertuigtype],"Lichte voertuigen")*SUMIFS(TableECFTransport[EnergieConsumptieFactor (PJ per km)],TableECFTransport[Index],CONCATENATE($A6,"_CNG_CNG"))</f>
        <v>7.0167050967858251E-5</v>
      </c>
      <c r="E6" s="963">
        <f>vkm_2011_GW_PW*SUMIFS(TableVerdeelsleutelVkm[LPG],TableVerdeelsleutelVkm[Voertuigtype],"Lichte voertuigen")*SUMIFS(TableECFTransport[EnergieConsumptieFactor (PJ per km)],TableECFTransport[Index],CONCATENATE($A6,"_LPG_LPG"))</f>
        <v>4.5688546320750184E-4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9.4914574819382966E-2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2.6754457173292025E-2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6.3139920364553986E-3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5.0526225323748196E-2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1.7279051461726141E-5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2.9232285306209855E-3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1.28273303487807E-5</v>
      </c>
      <c r="C8" s="450"/>
      <c r="D8" s="452">
        <f>vkm_2011_NGW_PW*SUMIFS(TableVerdeelsleutelVkm[CNG],TableVerdeelsleutelVkm[Voertuigtype],"Lichte voertuigen")*SUMIFS(TableECFTransport[EnergieConsumptieFactor (PJ per km)],TableECFTransport[Index],CONCATENATE($A8,"_CNG_CNG"))</f>
        <v>5.2479376163903713E-5</v>
      </c>
      <c r="E8" s="452">
        <f>vkm_2011_NGW_PW*SUMIFS(TableVerdeelsleutelVkm[LPG],TableVerdeelsleutelVkm[Voertuigtype],"Lichte voertuigen")*SUMIFS(TableECFTransport[EnergieConsumptieFactor (PJ per km)],TableECFTransport[Index],CONCATENATE($A8,"_LPG_LPG"))</f>
        <v>3.1536647647610074E-4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6.1243706437956118E-2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1.9348458066864908E-2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4.1382997090578652E-3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1.1111452412689233E-2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3.5955365669402477E-6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6.4285421278647648E-4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1.6750693683096415E-5</v>
      </c>
      <c r="C10" s="450"/>
      <c r="D10" s="452">
        <f>vkm_2011_SW_PW*SUMIFS(TableVerdeelsleutelVkm[CNG],TableVerdeelsleutelVkm[Voertuigtype],"Lichte voertuigen")*SUMIFS(TableECFTransport[EnergieConsumptieFactor (PJ per km)],TableECFTransport[Index],CONCATENATE($A10,"_CNG_CNG"))</f>
        <v>4.0625523248320179E-5</v>
      </c>
      <c r="E10" s="452">
        <f>vkm_2011_SW_PW*SUMIFS(TableVerdeelsleutelVkm[LPG],TableVerdeelsleutelVkm[Voertuigtype],"Lichte voertuigen")*SUMIFS(TableECFTransport[EnergieConsumptieFactor (PJ per km)],TableECFTransport[Index],CONCATENATE($A10,"_LPG_LPG"))</f>
        <v>3.2979996629536369E-4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6.1682063073788027E-2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1.6139132077254575E-2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4.0648563080912699E-3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7.2846609132704188E-2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2.6848511089885102E-5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4.2146488611128491E-3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16.642369321093035</v>
      </c>
      <c r="C14" s="21"/>
      <c r="D14" s="21">
        <f t="shared" ref="D14:M14" si="0">((D5)*10^9/3600)+D12</f>
        <v>45.353319550022817</v>
      </c>
      <c r="E14" s="21">
        <f t="shared" si="0"/>
        <v>306.12552943860175</v>
      </c>
      <c r="F14" s="21"/>
      <c r="G14" s="21">
        <f t="shared" si="0"/>
        <v>97867.953111185765</v>
      </c>
      <c r="H14" s="21">
        <f t="shared" si="0"/>
        <v>17302.714004591686</v>
      </c>
      <c r="I14" s="21"/>
      <c r="J14" s="21"/>
      <c r="K14" s="21"/>
      <c r="L14" s="21"/>
      <c r="M14" s="21">
        <f t="shared" si="0"/>
        <v>6193.8554605902345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0.17414366054845992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2.8981631137745287</v>
      </c>
      <c r="C18" s="23"/>
      <c r="D18" s="23">
        <f t="shared" ref="D18:M18" si="1">D14*D16</f>
        <v>9.1613705491046105</v>
      </c>
      <c r="E18" s="23">
        <f t="shared" si="1"/>
        <v>69.490495182562597</v>
      </c>
      <c r="F18" s="23"/>
      <c r="G18" s="23">
        <f t="shared" si="1"/>
        <v>26130.7434806866</v>
      </c>
      <c r="H18" s="23">
        <f t="shared" si="1"/>
        <v>4308.3757871433299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9.0352052564843417E-4</v>
      </c>
      <c r="H50" s="321">
        <f t="shared" si="2"/>
        <v>0</v>
      </c>
      <c r="I50" s="321">
        <f t="shared" si="2"/>
        <v>0</v>
      </c>
      <c r="J50" s="321">
        <f t="shared" si="2"/>
        <v>0</v>
      </c>
      <c r="K50" s="321">
        <f t="shared" si="2"/>
        <v>0</v>
      </c>
      <c r="L50" s="321">
        <f t="shared" si="2"/>
        <v>0</v>
      </c>
      <c r="M50" s="321">
        <f t="shared" si="2"/>
        <v>5.1525141673115065E-5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9.0352052564843417E-4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5.1525141673115065E-5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250.97792379123172</v>
      </c>
      <c r="H54" s="21">
        <f t="shared" si="3"/>
        <v>0</v>
      </c>
      <c r="I54" s="21">
        <f t="shared" si="3"/>
        <v>0</v>
      </c>
      <c r="J54" s="21">
        <f t="shared" si="3"/>
        <v>0</v>
      </c>
      <c r="K54" s="21">
        <f t="shared" si="3"/>
        <v>0</v>
      </c>
      <c r="L54" s="21">
        <f t="shared" si="3"/>
        <v>0</v>
      </c>
      <c r="M54" s="21">
        <f t="shared" si="3"/>
        <v>14.312539353643075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0.17414366054845992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67.011105652258877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22424.840037993705</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5712.7089116203642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28137.548949614069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21809.964800000002</v>
      </c>
      <c r="D10" s="719">
        <f ca="1">tertiair!C16</f>
        <v>0</v>
      </c>
      <c r="E10" s="719">
        <f ca="1">tertiair!D16</f>
        <v>22383.809665051856</v>
      </c>
      <c r="F10" s="719">
        <f>tertiair!E16</f>
        <v>191.53816436556818</v>
      </c>
      <c r="G10" s="719">
        <f ca="1">tertiair!F16</f>
        <v>3148.2737096370984</v>
      </c>
      <c r="H10" s="719">
        <f>tertiair!G16</f>
        <v>0</v>
      </c>
      <c r="I10" s="719">
        <f>tertiair!H16</f>
        <v>0</v>
      </c>
      <c r="J10" s="719">
        <f>tertiair!I16</f>
        <v>0</v>
      </c>
      <c r="K10" s="719">
        <f>tertiair!J16</f>
        <v>0</v>
      </c>
      <c r="L10" s="719">
        <f>tertiair!K16</f>
        <v>0</v>
      </c>
      <c r="M10" s="719">
        <f ca="1">tertiair!L16</f>
        <v>0</v>
      </c>
      <c r="N10" s="719">
        <f>tertiair!M16</f>
        <v>0</v>
      </c>
      <c r="O10" s="719">
        <f ca="1">tertiair!N16</f>
        <v>2525.5015299376118</v>
      </c>
      <c r="P10" s="719">
        <f>tertiair!O16</f>
        <v>4.6900000000000004</v>
      </c>
      <c r="Q10" s="720">
        <f>tertiair!P16</f>
        <v>38.133333333333333</v>
      </c>
      <c r="R10" s="722">
        <f ca="1">SUM(C10:Q10)</f>
        <v>50101.911202325471</v>
      </c>
      <c r="S10" s="67"/>
    </row>
    <row r="11" spans="1:19" s="475" customFormat="1">
      <c r="A11" s="871" t="s">
        <v>225</v>
      </c>
      <c r="B11" s="876"/>
      <c r="C11" s="719">
        <f>huishoudens!B8</f>
        <v>36239.877849151635</v>
      </c>
      <c r="D11" s="719">
        <f>huishoudens!C8</f>
        <v>0</v>
      </c>
      <c r="E11" s="719">
        <f>huishoudens!D8</f>
        <v>81059.714667927314</v>
      </c>
      <c r="F11" s="719">
        <f>huishoudens!E8</f>
        <v>2733.873410461636</v>
      </c>
      <c r="G11" s="719">
        <f>huishoudens!F8</f>
        <v>8999.7872633945717</v>
      </c>
      <c r="H11" s="719">
        <f>huishoudens!G8</f>
        <v>0</v>
      </c>
      <c r="I11" s="719">
        <f>huishoudens!H8</f>
        <v>0</v>
      </c>
      <c r="J11" s="719">
        <f>huishoudens!I8</f>
        <v>0</v>
      </c>
      <c r="K11" s="719">
        <f>huishoudens!J8</f>
        <v>2687.3106946775506</v>
      </c>
      <c r="L11" s="719">
        <f>huishoudens!K8</f>
        <v>0</v>
      </c>
      <c r="M11" s="719">
        <f>huishoudens!L8</f>
        <v>0</v>
      </c>
      <c r="N11" s="719">
        <f>huishoudens!M8</f>
        <v>0</v>
      </c>
      <c r="O11" s="719">
        <f>huishoudens!N8</f>
        <v>12222.808429662435</v>
      </c>
      <c r="P11" s="719">
        <f>huishoudens!O8</f>
        <v>164.15</v>
      </c>
      <c r="Q11" s="720">
        <f>huishoudens!P8</f>
        <v>343.2</v>
      </c>
      <c r="R11" s="722">
        <f>SUM(C11:Q11)</f>
        <v>144450.72231527511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73183.8033</v>
      </c>
      <c r="D13" s="719">
        <f>industrie!C18</f>
        <v>0</v>
      </c>
      <c r="E13" s="719">
        <f>industrie!D18</f>
        <v>43939.368216431911</v>
      </c>
      <c r="F13" s="719">
        <f>industrie!E18</f>
        <v>3813.7734061136448</v>
      </c>
      <c r="G13" s="719">
        <f>industrie!F18</f>
        <v>29673.095962492625</v>
      </c>
      <c r="H13" s="719">
        <f>industrie!G18</f>
        <v>0</v>
      </c>
      <c r="I13" s="719">
        <f>industrie!H18</f>
        <v>0</v>
      </c>
      <c r="J13" s="719">
        <f>industrie!I18</f>
        <v>0</v>
      </c>
      <c r="K13" s="719">
        <f>industrie!J18</f>
        <v>413.98092908767319</v>
      </c>
      <c r="L13" s="719">
        <f>industrie!K18</f>
        <v>0</v>
      </c>
      <c r="M13" s="719">
        <f>industrie!L18</f>
        <v>0</v>
      </c>
      <c r="N13" s="719">
        <f>industrie!M18</f>
        <v>0</v>
      </c>
      <c r="O13" s="719">
        <f>industrie!N18</f>
        <v>17235.826795130713</v>
      </c>
      <c r="P13" s="719">
        <f>industrie!O18</f>
        <v>0</v>
      </c>
      <c r="Q13" s="720">
        <f>industrie!P18</f>
        <v>0</v>
      </c>
      <c r="R13" s="722">
        <f>SUM(C13:Q13)</f>
        <v>168259.84860925656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131233.64594915163</v>
      </c>
      <c r="D15" s="724">
        <f t="shared" ref="D15:Q15" ca="1" si="0">SUM(D9:D14)</f>
        <v>0</v>
      </c>
      <c r="E15" s="724">
        <f t="shared" ca="1" si="0"/>
        <v>147382.89254941107</v>
      </c>
      <c r="F15" s="724">
        <f t="shared" si="0"/>
        <v>6739.1849809408486</v>
      </c>
      <c r="G15" s="724">
        <f t="shared" ca="1" si="0"/>
        <v>41821.156935524297</v>
      </c>
      <c r="H15" s="724">
        <f t="shared" si="0"/>
        <v>0</v>
      </c>
      <c r="I15" s="724">
        <f t="shared" si="0"/>
        <v>0</v>
      </c>
      <c r="J15" s="724">
        <f t="shared" si="0"/>
        <v>0</v>
      </c>
      <c r="K15" s="724">
        <f t="shared" si="0"/>
        <v>3101.2916237652239</v>
      </c>
      <c r="L15" s="724">
        <f t="shared" si="0"/>
        <v>0</v>
      </c>
      <c r="M15" s="724">
        <f t="shared" ca="1" si="0"/>
        <v>0</v>
      </c>
      <c r="N15" s="724">
        <f t="shared" si="0"/>
        <v>0</v>
      </c>
      <c r="O15" s="724">
        <f t="shared" ca="1" si="0"/>
        <v>31984.13675473076</v>
      </c>
      <c r="P15" s="724">
        <f t="shared" si="0"/>
        <v>168.84</v>
      </c>
      <c r="Q15" s="725">
        <f t="shared" si="0"/>
        <v>381.33333333333331</v>
      </c>
      <c r="R15" s="726">
        <f ca="1">SUM(R9:R14)</f>
        <v>362812.48212685715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250.97792379123172</v>
      </c>
      <c r="I18" s="719">
        <f>transport!H54</f>
        <v>0</v>
      </c>
      <c r="J18" s="719">
        <f>transport!I54</f>
        <v>0</v>
      </c>
      <c r="K18" s="719">
        <f>transport!J54</f>
        <v>0</v>
      </c>
      <c r="L18" s="719">
        <f>transport!K54</f>
        <v>0</v>
      </c>
      <c r="M18" s="719">
        <f>transport!L54</f>
        <v>0</v>
      </c>
      <c r="N18" s="719">
        <f>transport!M54</f>
        <v>14.312539353643075</v>
      </c>
      <c r="O18" s="719">
        <f>transport!N54</f>
        <v>0</v>
      </c>
      <c r="P18" s="719">
        <f>transport!O54</f>
        <v>0</v>
      </c>
      <c r="Q18" s="720">
        <f>transport!P54</f>
        <v>0</v>
      </c>
      <c r="R18" s="722">
        <f>SUM(C18:Q18)</f>
        <v>265.29046314487482</v>
      </c>
      <c r="S18" s="67"/>
    </row>
    <row r="19" spans="1:19" s="475" customFormat="1" ht="15" thickBot="1">
      <c r="A19" s="871" t="s">
        <v>307</v>
      </c>
      <c r="B19" s="876"/>
      <c r="C19" s="728">
        <f>transport!B14</f>
        <v>16.642369321093035</v>
      </c>
      <c r="D19" s="728">
        <f>transport!C14</f>
        <v>0</v>
      </c>
      <c r="E19" s="728">
        <f>transport!D14</f>
        <v>45.353319550022817</v>
      </c>
      <c r="F19" s="728">
        <f>transport!E14</f>
        <v>306.12552943860175</v>
      </c>
      <c r="G19" s="728">
        <f>transport!F14</f>
        <v>0</v>
      </c>
      <c r="H19" s="728">
        <f>transport!G14</f>
        <v>97867.953111185765</v>
      </c>
      <c r="I19" s="728">
        <f>transport!H14</f>
        <v>17302.714004591686</v>
      </c>
      <c r="J19" s="728">
        <f>transport!I14</f>
        <v>0</v>
      </c>
      <c r="K19" s="728">
        <f>transport!J14</f>
        <v>0</v>
      </c>
      <c r="L19" s="728">
        <f>transport!K14</f>
        <v>0</v>
      </c>
      <c r="M19" s="728">
        <f>transport!L14</f>
        <v>0</v>
      </c>
      <c r="N19" s="728">
        <f>transport!M14</f>
        <v>6193.8554605902345</v>
      </c>
      <c r="O19" s="728">
        <f>transport!N14</f>
        <v>0</v>
      </c>
      <c r="P19" s="728">
        <f>transport!O14</f>
        <v>0</v>
      </c>
      <c r="Q19" s="729">
        <f>transport!P14</f>
        <v>0</v>
      </c>
      <c r="R19" s="730">
        <f>SUM(C19:Q19)</f>
        <v>121732.64379467741</v>
      </c>
      <c r="S19" s="67"/>
    </row>
    <row r="20" spans="1:19" s="475" customFormat="1" ht="15.75" thickBot="1">
      <c r="A20" s="731" t="s">
        <v>230</v>
      </c>
      <c r="B20" s="879"/>
      <c r="C20" s="874">
        <f>SUM(C17:C19)</f>
        <v>16.642369321093035</v>
      </c>
      <c r="D20" s="732">
        <f t="shared" ref="D20:R20" si="1">SUM(D17:D19)</f>
        <v>0</v>
      </c>
      <c r="E20" s="732">
        <f t="shared" si="1"/>
        <v>45.353319550022817</v>
      </c>
      <c r="F20" s="732">
        <f t="shared" si="1"/>
        <v>306.12552943860175</v>
      </c>
      <c r="G20" s="732">
        <f t="shared" si="1"/>
        <v>0</v>
      </c>
      <c r="H20" s="732">
        <f t="shared" si="1"/>
        <v>98118.931034976995</v>
      </c>
      <c r="I20" s="732">
        <f t="shared" si="1"/>
        <v>17302.714004591686</v>
      </c>
      <c r="J20" s="732">
        <f t="shared" si="1"/>
        <v>0</v>
      </c>
      <c r="K20" s="732">
        <f t="shared" si="1"/>
        <v>0</v>
      </c>
      <c r="L20" s="732">
        <f t="shared" si="1"/>
        <v>0</v>
      </c>
      <c r="M20" s="732">
        <f t="shared" si="1"/>
        <v>0</v>
      </c>
      <c r="N20" s="732">
        <f t="shared" si="1"/>
        <v>6208.1679999438775</v>
      </c>
      <c r="O20" s="732">
        <f t="shared" si="1"/>
        <v>0</v>
      </c>
      <c r="P20" s="732">
        <f t="shared" si="1"/>
        <v>0</v>
      </c>
      <c r="Q20" s="733">
        <f t="shared" si="1"/>
        <v>0</v>
      </c>
      <c r="R20" s="734">
        <f t="shared" si="1"/>
        <v>121997.93425782229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1461.7073400000002</v>
      </c>
      <c r="D22" s="728">
        <f>+landbouw!C8</f>
        <v>0</v>
      </c>
      <c r="E22" s="728">
        <f>+landbouw!D8</f>
        <v>2298.014865724891</v>
      </c>
      <c r="F22" s="728">
        <f>+landbouw!E8</f>
        <v>13.538945602390367</v>
      </c>
      <c r="G22" s="728">
        <f>+landbouw!F8</f>
        <v>3708.6299765425142</v>
      </c>
      <c r="H22" s="728">
        <f>+landbouw!G8</f>
        <v>0</v>
      </c>
      <c r="I22" s="728">
        <f>+landbouw!H8</f>
        <v>0</v>
      </c>
      <c r="J22" s="728">
        <f>+landbouw!I8</f>
        <v>0</v>
      </c>
      <c r="K22" s="728">
        <f>+landbouw!J8</f>
        <v>224.09604792352459</v>
      </c>
      <c r="L22" s="728">
        <f>+landbouw!K8</f>
        <v>0</v>
      </c>
      <c r="M22" s="728">
        <f>+landbouw!L8</f>
        <v>0</v>
      </c>
      <c r="N22" s="728">
        <f>+landbouw!M8</f>
        <v>0</v>
      </c>
      <c r="O22" s="728">
        <f>+landbouw!N8</f>
        <v>0</v>
      </c>
      <c r="P22" s="728">
        <f>+landbouw!O8</f>
        <v>0</v>
      </c>
      <c r="Q22" s="729">
        <f>+landbouw!P8</f>
        <v>0</v>
      </c>
      <c r="R22" s="730">
        <f>SUM(C22:Q22)</f>
        <v>7705.9871757933206</v>
      </c>
      <c r="S22" s="67"/>
    </row>
    <row r="23" spans="1:19" s="475" customFormat="1" ht="17.25" thickTop="1" thickBot="1">
      <c r="A23" s="735" t="s">
        <v>116</v>
      </c>
      <c r="B23" s="865"/>
      <c r="C23" s="736">
        <f ca="1">C20+C15+C22</f>
        <v>132711.9956584727</v>
      </c>
      <c r="D23" s="736">
        <f t="shared" ref="D23:Q23" ca="1" si="2">D20+D15+D22</f>
        <v>0</v>
      </c>
      <c r="E23" s="736">
        <f t="shared" ca="1" si="2"/>
        <v>149726.26073468599</v>
      </c>
      <c r="F23" s="736">
        <f t="shared" si="2"/>
        <v>7058.8494559818409</v>
      </c>
      <c r="G23" s="736">
        <f t="shared" ca="1" si="2"/>
        <v>45529.786912066811</v>
      </c>
      <c r="H23" s="736">
        <f t="shared" si="2"/>
        <v>98118.931034976995</v>
      </c>
      <c r="I23" s="736">
        <f t="shared" si="2"/>
        <v>17302.714004591686</v>
      </c>
      <c r="J23" s="736">
        <f t="shared" si="2"/>
        <v>0</v>
      </c>
      <c r="K23" s="736">
        <f t="shared" si="2"/>
        <v>3325.3876716887485</v>
      </c>
      <c r="L23" s="736">
        <f t="shared" si="2"/>
        <v>0</v>
      </c>
      <c r="M23" s="736">
        <f t="shared" ca="1" si="2"/>
        <v>0</v>
      </c>
      <c r="N23" s="736">
        <f t="shared" si="2"/>
        <v>6208.1679999438775</v>
      </c>
      <c r="O23" s="736">
        <f t="shared" ca="1" si="2"/>
        <v>31984.13675473076</v>
      </c>
      <c r="P23" s="736">
        <f t="shared" si="2"/>
        <v>168.84</v>
      </c>
      <c r="Q23" s="737">
        <f t="shared" si="2"/>
        <v>381.33333333333331</v>
      </c>
      <c r="R23" s="738">
        <f ca="1">R20+R15+R22</f>
        <v>492516.40356047277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3798.0671067050598</v>
      </c>
      <c r="D36" s="719">
        <f ca="1">tertiair!C20</f>
        <v>0</v>
      </c>
      <c r="E36" s="719">
        <f ca="1">tertiair!D20</f>
        <v>4521.5295523404757</v>
      </c>
      <c r="F36" s="719">
        <f>tertiair!E20</f>
        <v>43.479163310983978</v>
      </c>
      <c r="G36" s="719">
        <f ca="1">tertiair!F20</f>
        <v>840.58908047310535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9203.6649028296251</v>
      </c>
    </row>
    <row r="37" spans="1:18">
      <c r="A37" s="886" t="s">
        <v>225</v>
      </c>
      <c r="B37" s="893"/>
      <c r="C37" s="719">
        <f ca="1">huishoudens!B12</f>
        <v>6310.9449864803146</v>
      </c>
      <c r="D37" s="719">
        <f ca="1">huishoudens!C12</f>
        <v>0</v>
      </c>
      <c r="E37" s="719">
        <f>huishoudens!D12</f>
        <v>16374.062362921319</v>
      </c>
      <c r="F37" s="719">
        <f>huishoudens!E12</f>
        <v>620.58926417479142</v>
      </c>
      <c r="G37" s="719">
        <f>huishoudens!F12</f>
        <v>2402.9431993263506</v>
      </c>
      <c r="H37" s="719">
        <f>huishoudens!G12</f>
        <v>0</v>
      </c>
      <c r="I37" s="719">
        <f>huishoudens!H12</f>
        <v>0</v>
      </c>
      <c r="J37" s="719">
        <f>huishoudens!I12</f>
        <v>0</v>
      </c>
      <c r="K37" s="719">
        <f>huishoudens!J12</f>
        <v>951.3079859158529</v>
      </c>
      <c r="L37" s="719">
        <f>huishoudens!K12</f>
        <v>0</v>
      </c>
      <c r="M37" s="719">
        <f>huishoudens!L12</f>
        <v>0</v>
      </c>
      <c r="N37" s="719">
        <f>huishoudens!M12</f>
        <v>0</v>
      </c>
      <c r="O37" s="719">
        <f>huishoudens!N12</f>
        <v>0</v>
      </c>
      <c r="P37" s="719">
        <f>huishoudens!O12</f>
        <v>0</v>
      </c>
      <c r="Q37" s="829">
        <f>huishoudens!P12</f>
        <v>0</v>
      </c>
      <c r="R37" s="918">
        <f ca="1">SUM(C37:Q37)</f>
        <v>26659.847798818628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12744.495399520461</v>
      </c>
      <c r="D39" s="719">
        <f ca="1">industrie!C22</f>
        <v>0</v>
      </c>
      <c r="E39" s="719">
        <f>industrie!D22</f>
        <v>8875.7523797192462</v>
      </c>
      <c r="F39" s="719">
        <f>industrie!E22</f>
        <v>865.72656318779741</v>
      </c>
      <c r="G39" s="719">
        <f>industrie!F22</f>
        <v>7922.7166219855317</v>
      </c>
      <c r="H39" s="719">
        <f>industrie!G22</f>
        <v>0</v>
      </c>
      <c r="I39" s="719">
        <f>industrie!H22</f>
        <v>0</v>
      </c>
      <c r="J39" s="719">
        <f>industrie!I22</f>
        <v>0</v>
      </c>
      <c r="K39" s="719">
        <f>industrie!J22</f>
        <v>146.54924889703631</v>
      </c>
      <c r="L39" s="719">
        <f>industrie!K22</f>
        <v>0</v>
      </c>
      <c r="M39" s="719">
        <f>industrie!L22</f>
        <v>0</v>
      </c>
      <c r="N39" s="719">
        <f>industrie!M22</f>
        <v>0</v>
      </c>
      <c r="O39" s="719">
        <f>industrie!N22</f>
        <v>0</v>
      </c>
      <c r="P39" s="719">
        <f>industrie!O22</f>
        <v>0</v>
      </c>
      <c r="Q39" s="829">
        <f>industrie!P22</f>
        <v>0</v>
      </c>
      <c r="R39" s="919">
        <f ca="1">SUM(C39:Q39)</f>
        <v>30555.240213310073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22853.507492705838</v>
      </c>
      <c r="D41" s="764">
        <f t="shared" ref="D41:R41" ca="1" si="4">SUM(D35:D40)</f>
        <v>0</v>
      </c>
      <c r="E41" s="764">
        <f t="shared" ca="1" si="4"/>
        <v>29771.344294981041</v>
      </c>
      <c r="F41" s="764">
        <f t="shared" si="4"/>
        <v>1529.7949906735728</v>
      </c>
      <c r="G41" s="764">
        <f t="shared" ca="1" si="4"/>
        <v>11166.248901784988</v>
      </c>
      <c r="H41" s="764">
        <f t="shared" si="4"/>
        <v>0</v>
      </c>
      <c r="I41" s="764">
        <f t="shared" si="4"/>
        <v>0</v>
      </c>
      <c r="J41" s="764">
        <f t="shared" si="4"/>
        <v>0</v>
      </c>
      <c r="K41" s="764">
        <f t="shared" si="4"/>
        <v>1097.8572348128891</v>
      </c>
      <c r="L41" s="764">
        <f t="shared" si="4"/>
        <v>0</v>
      </c>
      <c r="M41" s="764">
        <f t="shared" ca="1" si="4"/>
        <v>0</v>
      </c>
      <c r="N41" s="764">
        <f t="shared" si="4"/>
        <v>0</v>
      </c>
      <c r="O41" s="764">
        <f t="shared" ca="1" si="4"/>
        <v>0</v>
      </c>
      <c r="P41" s="764">
        <f t="shared" si="4"/>
        <v>0</v>
      </c>
      <c r="Q41" s="765">
        <f t="shared" si="4"/>
        <v>0</v>
      </c>
      <c r="R41" s="766">
        <f t="shared" ca="1" si="4"/>
        <v>66418.752914958328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67.011105652258877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67.011105652258877</v>
      </c>
    </row>
    <row r="45" spans="1:18" ht="15" thickBot="1">
      <c r="A45" s="889" t="s">
        <v>307</v>
      </c>
      <c r="B45" s="899"/>
      <c r="C45" s="728">
        <f ca="1">transport!B18</f>
        <v>2.8981631137745287</v>
      </c>
      <c r="D45" s="728">
        <f>transport!C18</f>
        <v>0</v>
      </c>
      <c r="E45" s="728">
        <f>transport!D18</f>
        <v>9.1613705491046105</v>
      </c>
      <c r="F45" s="728">
        <f>transport!E18</f>
        <v>69.490495182562597</v>
      </c>
      <c r="G45" s="728">
        <f>transport!F18</f>
        <v>0</v>
      </c>
      <c r="H45" s="728">
        <f>transport!G18</f>
        <v>26130.7434806866</v>
      </c>
      <c r="I45" s="728">
        <f>transport!H18</f>
        <v>4308.3757871433299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30520.669296675373</v>
      </c>
    </row>
    <row r="46" spans="1:18" ht="15.75" thickBot="1">
      <c r="A46" s="887" t="s">
        <v>230</v>
      </c>
      <c r="B46" s="900"/>
      <c r="C46" s="764">
        <f t="shared" ref="C46:R46" ca="1" si="5">SUM(C43:C45)</f>
        <v>2.8981631137745287</v>
      </c>
      <c r="D46" s="764">
        <f t="shared" ca="1" si="5"/>
        <v>0</v>
      </c>
      <c r="E46" s="764">
        <f t="shared" si="5"/>
        <v>9.1613705491046105</v>
      </c>
      <c r="F46" s="764">
        <f t="shared" si="5"/>
        <v>69.490495182562597</v>
      </c>
      <c r="G46" s="764">
        <f t="shared" si="5"/>
        <v>0</v>
      </c>
      <c r="H46" s="764">
        <f t="shared" si="5"/>
        <v>26197.754586338859</v>
      </c>
      <c r="I46" s="764">
        <f t="shared" si="5"/>
        <v>4308.3757871433299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30587.680402327631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254.54706683815232</v>
      </c>
      <c r="D48" s="719">
        <f ca="1">+landbouw!C12</f>
        <v>0</v>
      </c>
      <c r="E48" s="719">
        <f>+landbouw!D12</f>
        <v>464.19900287642804</v>
      </c>
      <c r="F48" s="719">
        <f>+landbouw!E12</f>
        <v>3.0733406517426132</v>
      </c>
      <c r="G48" s="719">
        <f>+landbouw!F12</f>
        <v>990.20420373685135</v>
      </c>
      <c r="H48" s="719">
        <f>+landbouw!G12</f>
        <v>0</v>
      </c>
      <c r="I48" s="719">
        <f>+landbouw!H12</f>
        <v>0</v>
      </c>
      <c r="J48" s="719">
        <f>+landbouw!I12</f>
        <v>0</v>
      </c>
      <c r="K48" s="719">
        <f>+landbouw!J12</f>
        <v>79.330000964927706</v>
      </c>
      <c r="L48" s="719">
        <f>+landbouw!K12</f>
        <v>0</v>
      </c>
      <c r="M48" s="719">
        <f>+landbouw!L12</f>
        <v>0</v>
      </c>
      <c r="N48" s="719">
        <f>+landbouw!M12</f>
        <v>0</v>
      </c>
      <c r="O48" s="719">
        <f>+landbouw!N12</f>
        <v>0</v>
      </c>
      <c r="P48" s="719">
        <f>+landbouw!O12</f>
        <v>0</v>
      </c>
      <c r="Q48" s="720">
        <f>+landbouw!P12</f>
        <v>0</v>
      </c>
      <c r="R48" s="762">
        <f ca="1">SUM(C48:Q48)</f>
        <v>1791.3536150681018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23110.952722657767</v>
      </c>
      <c r="D53" s="774">
        <f t="shared" ref="D53:Q53" ca="1" si="6">D41+D46+D48</f>
        <v>0</v>
      </c>
      <c r="E53" s="774">
        <f t="shared" ca="1" si="6"/>
        <v>30244.704668406572</v>
      </c>
      <c r="F53" s="774">
        <f t="shared" si="6"/>
        <v>1602.3588265078781</v>
      </c>
      <c r="G53" s="774">
        <f t="shared" ca="1" si="6"/>
        <v>12156.453105521839</v>
      </c>
      <c r="H53" s="774">
        <f t="shared" si="6"/>
        <v>26197.754586338859</v>
      </c>
      <c r="I53" s="774">
        <f t="shared" si="6"/>
        <v>4308.3757871433299</v>
      </c>
      <c r="J53" s="774">
        <f t="shared" si="6"/>
        <v>0</v>
      </c>
      <c r="K53" s="774">
        <f t="shared" si="6"/>
        <v>1177.1872357778168</v>
      </c>
      <c r="L53" s="774">
        <f t="shared" si="6"/>
        <v>0</v>
      </c>
      <c r="M53" s="774">
        <f t="shared" ca="1" si="6"/>
        <v>0</v>
      </c>
      <c r="N53" s="774">
        <f t="shared" si="6"/>
        <v>0</v>
      </c>
      <c r="O53" s="774">
        <f t="shared" ca="1" si="6"/>
        <v>0</v>
      </c>
      <c r="P53" s="774">
        <f>P41+P46+P48</f>
        <v>0</v>
      </c>
      <c r="Q53" s="775">
        <f t="shared" si="6"/>
        <v>0</v>
      </c>
      <c r="R53" s="776">
        <f ca="1">R41+R46+R48</f>
        <v>98797.786932354065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0.17414366054845998</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22424.840037993705</v>
      </c>
      <c r="C64" s="796">
        <f>'lokale energieproductie'!B4</f>
        <v>22424.840037993705</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5712.7089116203642</v>
      </c>
      <c r="C66" s="796">
        <f>'lokale energieproductie'!B6</f>
        <v>5712.7089116203642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28137.548949614069</v>
      </c>
      <c r="C69" s="804">
        <f>SUM(C64:C68)</f>
        <v>28137.548949614069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36239.877849151635</v>
      </c>
      <c r="C4" s="479">
        <f>huishoudens!C8</f>
        <v>0</v>
      </c>
      <c r="D4" s="479">
        <f>huishoudens!D8</f>
        <v>81059.714667927314</v>
      </c>
      <c r="E4" s="479">
        <f>huishoudens!E8</f>
        <v>2733.873410461636</v>
      </c>
      <c r="F4" s="479">
        <f>huishoudens!F8</f>
        <v>8999.7872633945717</v>
      </c>
      <c r="G4" s="479">
        <f>huishoudens!G8</f>
        <v>0</v>
      </c>
      <c r="H4" s="479">
        <f>huishoudens!H8</f>
        <v>0</v>
      </c>
      <c r="I4" s="479">
        <f>huishoudens!I8</f>
        <v>0</v>
      </c>
      <c r="J4" s="479">
        <f>huishoudens!J8</f>
        <v>2687.3106946775506</v>
      </c>
      <c r="K4" s="479">
        <f>huishoudens!K8</f>
        <v>0</v>
      </c>
      <c r="L4" s="479">
        <f>huishoudens!L8</f>
        <v>0</v>
      </c>
      <c r="M4" s="479">
        <f>huishoudens!M8</f>
        <v>0</v>
      </c>
      <c r="N4" s="479">
        <f>huishoudens!N8</f>
        <v>12222.808429662435</v>
      </c>
      <c r="O4" s="479">
        <f>huishoudens!O8</f>
        <v>164.15</v>
      </c>
      <c r="P4" s="480">
        <f>huishoudens!P8</f>
        <v>343.2</v>
      </c>
      <c r="Q4" s="481">
        <f>SUM(B4:P4)</f>
        <v>144450.72231527511</v>
      </c>
    </row>
    <row r="5" spans="1:17">
      <c r="A5" s="478" t="s">
        <v>156</v>
      </c>
      <c r="B5" s="479">
        <f ca="1">tertiair!B16</f>
        <v>20456.4038</v>
      </c>
      <c r="C5" s="479">
        <f ca="1">tertiair!C16</f>
        <v>0</v>
      </c>
      <c r="D5" s="479">
        <f ca="1">tertiair!D16</f>
        <v>22383.809665051856</v>
      </c>
      <c r="E5" s="479">
        <f>tertiair!E16</f>
        <v>191.53816436556818</v>
      </c>
      <c r="F5" s="479">
        <f ca="1">tertiair!F16</f>
        <v>3148.2737096370984</v>
      </c>
      <c r="G5" s="479">
        <f>tertiair!G16</f>
        <v>0</v>
      </c>
      <c r="H5" s="479">
        <f>tertiair!H16</f>
        <v>0</v>
      </c>
      <c r="I5" s="479">
        <f>tertiair!I16</f>
        <v>0</v>
      </c>
      <c r="J5" s="479">
        <f>tertiair!J16</f>
        <v>0</v>
      </c>
      <c r="K5" s="479">
        <f>tertiair!K16</f>
        <v>0</v>
      </c>
      <c r="L5" s="479">
        <f ca="1">tertiair!L16</f>
        <v>0</v>
      </c>
      <c r="M5" s="479">
        <f>tertiair!M16</f>
        <v>0</v>
      </c>
      <c r="N5" s="479">
        <f ca="1">tertiair!N16</f>
        <v>2525.5015299376118</v>
      </c>
      <c r="O5" s="479">
        <f>tertiair!O16</f>
        <v>4.6900000000000004</v>
      </c>
      <c r="P5" s="480">
        <f>tertiair!P16</f>
        <v>38.133333333333333</v>
      </c>
      <c r="Q5" s="478">
        <f t="shared" ref="Q5:Q13" ca="1" si="0">SUM(B5:P5)</f>
        <v>48748.35020232547</v>
      </c>
    </row>
    <row r="6" spans="1:17">
      <c r="A6" s="478" t="s">
        <v>194</v>
      </c>
      <c r="B6" s="479">
        <f>'openbare verlichting'!B8</f>
        <v>1353.5609999999999</v>
      </c>
      <c r="C6" s="479"/>
      <c r="D6" s="479"/>
      <c r="E6" s="479"/>
      <c r="F6" s="479"/>
      <c r="G6" s="479"/>
      <c r="H6" s="479"/>
      <c r="I6" s="479"/>
      <c r="J6" s="479"/>
      <c r="K6" s="479"/>
      <c r="L6" s="479"/>
      <c r="M6" s="479"/>
      <c r="N6" s="479"/>
      <c r="O6" s="479"/>
      <c r="P6" s="480"/>
      <c r="Q6" s="478">
        <f t="shared" si="0"/>
        <v>1353.5609999999999</v>
      </c>
    </row>
    <row r="7" spans="1:17">
      <c r="A7" s="478" t="s">
        <v>112</v>
      </c>
      <c r="B7" s="479">
        <f>landbouw!B8</f>
        <v>1461.7073400000002</v>
      </c>
      <c r="C7" s="479">
        <f>landbouw!C8</f>
        <v>0</v>
      </c>
      <c r="D7" s="479">
        <f>landbouw!D8</f>
        <v>2298.014865724891</v>
      </c>
      <c r="E7" s="479">
        <f>landbouw!E8</f>
        <v>13.538945602390367</v>
      </c>
      <c r="F7" s="479">
        <f>landbouw!F8</f>
        <v>3708.6299765425142</v>
      </c>
      <c r="G7" s="479">
        <f>landbouw!G8</f>
        <v>0</v>
      </c>
      <c r="H7" s="479">
        <f>landbouw!H8</f>
        <v>0</v>
      </c>
      <c r="I7" s="479">
        <f>landbouw!I8</f>
        <v>0</v>
      </c>
      <c r="J7" s="479">
        <f>landbouw!J8</f>
        <v>224.09604792352459</v>
      </c>
      <c r="K7" s="479">
        <f>landbouw!K8</f>
        <v>0</v>
      </c>
      <c r="L7" s="479">
        <f>landbouw!L8</f>
        <v>0</v>
      </c>
      <c r="M7" s="479">
        <f>landbouw!M8</f>
        <v>0</v>
      </c>
      <c r="N7" s="479">
        <f>landbouw!N8</f>
        <v>0</v>
      </c>
      <c r="O7" s="479">
        <f>landbouw!O8</f>
        <v>0</v>
      </c>
      <c r="P7" s="480">
        <f>landbouw!P8</f>
        <v>0</v>
      </c>
      <c r="Q7" s="478">
        <f t="shared" si="0"/>
        <v>7705.9871757933206</v>
      </c>
    </row>
    <row r="8" spans="1:17">
      <c r="A8" s="478" t="s">
        <v>650</v>
      </c>
      <c r="B8" s="479">
        <f>industrie!B18</f>
        <v>73183.8033</v>
      </c>
      <c r="C8" s="479">
        <f>industrie!C18</f>
        <v>0</v>
      </c>
      <c r="D8" s="479">
        <f>industrie!D18</f>
        <v>43939.368216431911</v>
      </c>
      <c r="E8" s="479">
        <f>industrie!E18</f>
        <v>3813.7734061136448</v>
      </c>
      <c r="F8" s="479">
        <f>industrie!F18</f>
        <v>29673.095962492625</v>
      </c>
      <c r="G8" s="479">
        <f>industrie!G18</f>
        <v>0</v>
      </c>
      <c r="H8" s="479">
        <f>industrie!H18</f>
        <v>0</v>
      </c>
      <c r="I8" s="479">
        <f>industrie!I18</f>
        <v>0</v>
      </c>
      <c r="J8" s="479">
        <f>industrie!J18</f>
        <v>413.98092908767319</v>
      </c>
      <c r="K8" s="479">
        <f>industrie!K18</f>
        <v>0</v>
      </c>
      <c r="L8" s="479">
        <f>industrie!L18</f>
        <v>0</v>
      </c>
      <c r="M8" s="479">
        <f>industrie!M18</f>
        <v>0</v>
      </c>
      <c r="N8" s="479">
        <f>industrie!N18</f>
        <v>17235.826795130713</v>
      </c>
      <c r="O8" s="479">
        <f>industrie!O18</f>
        <v>0</v>
      </c>
      <c r="P8" s="480">
        <f>industrie!P18</f>
        <v>0</v>
      </c>
      <c r="Q8" s="478">
        <f t="shared" si="0"/>
        <v>168259.84860925656</v>
      </c>
    </row>
    <row r="9" spans="1:17" s="484" customFormat="1">
      <c r="A9" s="482" t="s">
        <v>571</v>
      </c>
      <c r="B9" s="483">
        <f>transport!B14</f>
        <v>16.642369321093035</v>
      </c>
      <c r="C9" s="483">
        <f>transport!C14</f>
        <v>0</v>
      </c>
      <c r="D9" s="483">
        <f>transport!D14</f>
        <v>45.353319550022817</v>
      </c>
      <c r="E9" s="483">
        <f>transport!E14</f>
        <v>306.12552943860175</v>
      </c>
      <c r="F9" s="483">
        <f>transport!F14</f>
        <v>0</v>
      </c>
      <c r="G9" s="483">
        <f>transport!G14</f>
        <v>97867.953111185765</v>
      </c>
      <c r="H9" s="483">
        <f>transport!H14</f>
        <v>17302.714004591686</v>
      </c>
      <c r="I9" s="483">
        <f>transport!I14</f>
        <v>0</v>
      </c>
      <c r="J9" s="483">
        <f>transport!J14</f>
        <v>0</v>
      </c>
      <c r="K9" s="483">
        <f>transport!K14</f>
        <v>0</v>
      </c>
      <c r="L9" s="483">
        <f>transport!L14</f>
        <v>0</v>
      </c>
      <c r="M9" s="483">
        <f>transport!M14</f>
        <v>6193.8554605902345</v>
      </c>
      <c r="N9" s="483">
        <f>transport!N14</f>
        <v>0</v>
      </c>
      <c r="O9" s="483">
        <f>transport!O14</f>
        <v>0</v>
      </c>
      <c r="P9" s="483">
        <f>transport!P14</f>
        <v>0</v>
      </c>
      <c r="Q9" s="482">
        <f>SUM(B9:P9)</f>
        <v>121732.64379467741</v>
      </c>
    </row>
    <row r="10" spans="1:17">
      <c r="A10" s="478" t="s">
        <v>561</v>
      </c>
      <c r="B10" s="479">
        <f>transport!B54</f>
        <v>0</v>
      </c>
      <c r="C10" s="479">
        <f>transport!C54</f>
        <v>0</v>
      </c>
      <c r="D10" s="479">
        <f>transport!D54</f>
        <v>0</v>
      </c>
      <c r="E10" s="479">
        <f>transport!E54</f>
        <v>0</v>
      </c>
      <c r="F10" s="479">
        <f>transport!F54</f>
        <v>0</v>
      </c>
      <c r="G10" s="479">
        <f>transport!G54</f>
        <v>250.97792379123172</v>
      </c>
      <c r="H10" s="479">
        <f>transport!H54</f>
        <v>0</v>
      </c>
      <c r="I10" s="479">
        <f>transport!I54</f>
        <v>0</v>
      </c>
      <c r="J10" s="479">
        <f>transport!J54</f>
        <v>0</v>
      </c>
      <c r="K10" s="479">
        <f>transport!K54</f>
        <v>0</v>
      </c>
      <c r="L10" s="479">
        <f>transport!L54</f>
        <v>0</v>
      </c>
      <c r="M10" s="479">
        <f>transport!M54</f>
        <v>14.312539353643075</v>
      </c>
      <c r="N10" s="479">
        <f>transport!N54</f>
        <v>0</v>
      </c>
      <c r="O10" s="479">
        <f>transport!O54</f>
        <v>0</v>
      </c>
      <c r="P10" s="480">
        <f>transport!P54</f>
        <v>0</v>
      </c>
      <c r="Q10" s="478">
        <f t="shared" si="0"/>
        <v>265.29046314487482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132711.9956584727</v>
      </c>
      <c r="C14" s="489">
        <f t="shared" ref="C14:Q14" ca="1" si="1">SUM(C4:C13)</f>
        <v>0</v>
      </c>
      <c r="D14" s="489">
        <f t="shared" ca="1" si="1"/>
        <v>149726.26073468599</v>
      </c>
      <c r="E14" s="489">
        <f t="shared" si="1"/>
        <v>7058.8494559818419</v>
      </c>
      <c r="F14" s="489">
        <f t="shared" ca="1" si="1"/>
        <v>45529.786912066811</v>
      </c>
      <c r="G14" s="489">
        <f t="shared" si="1"/>
        <v>98118.931034976995</v>
      </c>
      <c r="H14" s="489">
        <f t="shared" si="1"/>
        <v>17302.714004591686</v>
      </c>
      <c r="I14" s="489">
        <f t="shared" si="1"/>
        <v>0</v>
      </c>
      <c r="J14" s="489">
        <f t="shared" si="1"/>
        <v>3325.3876716887485</v>
      </c>
      <c r="K14" s="489">
        <f t="shared" si="1"/>
        <v>0</v>
      </c>
      <c r="L14" s="489">
        <f t="shared" ca="1" si="1"/>
        <v>0</v>
      </c>
      <c r="M14" s="489">
        <f t="shared" si="1"/>
        <v>6208.1679999438775</v>
      </c>
      <c r="N14" s="489">
        <f t="shared" ca="1" si="1"/>
        <v>31984.13675473076</v>
      </c>
      <c r="O14" s="489">
        <f t="shared" si="1"/>
        <v>168.84</v>
      </c>
      <c r="P14" s="490">
        <f t="shared" si="1"/>
        <v>381.33333333333331</v>
      </c>
      <c r="Q14" s="490">
        <f t="shared" ca="1" si="1"/>
        <v>492516.40356047271</v>
      </c>
    </row>
    <row r="16" spans="1:17">
      <c r="A16" s="492" t="s">
        <v>566</v>
      </c>
      <c r="B16" s="842">
        <f ca="1">huishoudens!B10</f>
        <v>0.17414366054845992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6310.9449864803146</v>
      </c>
      <c r="C21" s="479">
        <f t="shared" ref="C21:C30" ca="1" si="3">C4*$C$16</f>
        <v>0</v>
      </c>
      <c r="D21" s="479">
        <f t="shared" ref="D21:D30" si="4">D4*$D$16</f>
        <v>16374.062362921319</v>
      </c>
      <c r="E21" s="479">
        <f t="shared" ref="E21:E30" si="5">E4*$E$16</f>
        <v>620.58926417479142</v>
      </c>
      <c r="F21" s="479">
        <f t="shared" ref="F21:F30" si="6">F4*$F$16</f>
        <v>2402.9431993263506</v>
      </c>
      <c r="G21" s="479">
        <f t="shared" ref="G21:G30" si="7">G4*$G$16</f>
        <v>0</v>
      </c>
      <c r="H21" s="479">
        <f t="shared" ref="H21:H30" si="8">H4*$H$16</f>
        <v>0</v>
      </c>
      <c r="I21" s="479">
        <f t="shared" ref="I21:I30" si="9">I4*$I$16</f>
        <v>0</v>
      </c>
      <c r="J21" s="479">
        <f t="shared" ref="J21:J30" si="10">J4*$J$16</f>
        <v>951.3079859158529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26659.847798818628</v>
      </c>
    </row>
    <row r="22" spans="1:17">
      <c r="A22" s="478" t="s">
        <v>156</v>
      </c>
      <c r="B22" s="479">
        <f t="shared" ca="1" si="2"/>
        <v>3562.3530393894257</v>
      </c>
      <c r="C22" s="479">
        <f t="shared" ca="1" si="3"/>
        <v>0</v>
      </c>
      <c r="D22" s="479">
        <f t="shared" ca="1" si="4"/>
        <v>4521.5295523404757</v>
      </c>
      <c r="E22" s="479">
        <f t="shared" si="5"/>
        <v>43.479163310983978</v>
      </c>
      <c r="F22" s="479">
        <f t="shared" ca="1" si="6"/>
        <v>840.58908047310535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8967.9508355139915</v>
      </c>
    </row>
    <row r="23" spans="1:17">
      <c r="A23" s="478" t="s">
        <v>194</v>
      </c>
      <c r="B23" s="479">
        <f t="shared" ca="1" si="2"/>
        <v>235.71406731563394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235.71406731563394</v>
      </c>
    </row>
    <row r="24" spans="1:17">
      <c r="A24" s="478" t="s">
        <v>112</v>
      </c>
      <c r="B24" s="479">
        <f t="shared" ca="1" si="2"/>
        <v>254.54706683815232</v>
      </c>
      <c r="C24" s="479">
        <f t="shared" ca="1" si="3"/>
        <v>0</v>
      </c>
      <c r="D24" s="479">
        <f t="shared" si="4"/>
        <v>464.19900287642804</v>
      </c>
      <c r="E24" s="479">
        <f t="shared" si="5"/>
        <v>3.0733406517426132</v>
      </c>
      <c r="F24" s="479">
        <f t="shared" si="6"/>
        <v>990.20420373685135</v>
      </c>
      <c r="G24" s="479">
        <f t="shared" si="7"/>
        <v>0</v>
      </c>
      <c r="H24" s="479">
        <f t="shared" si="8"/>
        <v>0</v>
      </c>
      <c r="I24" s="479">
        <f t="shared" si="9"/>
        <v>0</v>
      </c>
      <c r="J24" s="479">
        <f t="shared" si="10"/>
        <v>79.330000964927706</v>
      </c>
      <c r="K24" s="479">
        <f t="shared" si="11"/>
        <v>0</v>
      </c>
      <c r="L24" s="479">
        <f t="shared" si="12"/>
        <v>0</v>
      </c>
      <c r="M24" s="479">
        <f t="shared" si="13"/>
        <v>0</v>
      </c>
      <c r="N24" s="479">
        <f t="shared" si="14"/>
        <v>0</v>
      </c>
      <c r="O24" s="479">
        <f t="shared" si="15"/>
        <v>0</v>
      </c>
      <c r="P24" s="480">
        <f t="shared" si="16"/>
        <v>0</v>
      </c>
      <c r="Q24" s="478">
        <f t="shared" ca="1" si="17"/>
        <v>1791.3536150681018</v>
      </c>
    </row>
    <row r="25" spans="1:17">
      <c r="A25" s="478" t="s">
        <v>650</v>
      </c>
      <c r="B25" s="479">
        <f t="shared" ca="1" si="2"/>
        <v>12744.495399520461</v>
      </c>
      <c r="C25" s="479">
        <f t="shared" ca="1" si="3"/>
        <v>0</v>
      </c>
      <c r="D25" s="479">
        <f t="shared" si="4"/>
        <v>8875.7523797192462</v>
      </c>
      <c r="E25" s="479">
        <f t="shared" si="5"/>
        <v>865.72656318779741</v>
      </c>
      <c r="F25" s="479">
        <f t="shared" si="6"/>
        <v>7922.7166219855317</v>
      </c>
      <c r="G25" s="479">
        <f t="shared" si="7"/>
        <v>0</v>
      </c>
      <c r="H25" s="479">
        <f t="shared" si="8"/>
        <v>0</v>
      </c>
      <c r="I25" s="479">
        <f t="shared" si="9"/>
        <v>0</v>
      </c>
      <c r="J25" s="479">
        <f t="shared" si="10"/>
        <v>146.54924889703631</v>
      </c>
      <c r="K25" s="479">
        <f t="shared" si="11"/>
        <v>0</v>
      </c>
      <c r="L25" s="479">
        <f t="shared" si="12"/>
        <v>0</v>
      </c>
      <c r="M25" s="479">
        <f t="shared" si="13"/>
        <v>0</v>
      </c>
      <c r="N25" s="479">
        <f t="shared" si="14"/>
        <v>0</v>
      </c>
      <c r="O25" s="479">
        <f t="shared" si="15"/>
        <v>0</v>
      </c>
      <c r="P25" s="480">
        <f t="shared" si="16"/>
        <v>0</v>
      </c>
      <c r="Q25" s="478">
        <f t="shared" ca="1" si="17"/>
        <v>30555.240213310073</v>
      </c>
    </row>
    <row r="26" spans="1:17" s="484" customFormat="1">
      <c r="A26" s="482" t="s">
        <v>571</v>
      </c>
      <c r="B26" s="836">
        <f t="shared" ca="1" si="2"/>
        <v>2.8981631137745287</v>
      </c>
      <c r="C26" s="483">
        <f t="shared" ca="1" si="3"/>
        <v>0</v>
      </c>
      <c r="D26" s="483">
        <f t="shared" si="4"/>
        <v>9.1613705491046105</v>
      </c>
      <c r="E26" s="483">
        <f t="shared" si="5"/>
        <v>69.490495182562597</v>
      </c>
      <c r="F26" s="483">
        <f t="shared" si="6"/>
        <v>0</v>
      </c>
      <c r="G26" s="483">
        <f t="shared" si="7"/>
        <v>26130.7434806866</v>
      </c>
      <c r="H26" s="483">
        <f t="shared" si="8"/>
        <v>4308.3757871433299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30520.669296675373</v>
      </c>
    </row>
    <row r="27" spans="1:17">
      <c r="A27" s="478" t="s">
        <v>561</v>
      </c>
      <c r="B27" s="479">
        <f t="shared" ca="1" si="2"/>
        <v>0</v>
      </c>
      <c r="C27" s="479">
        <f t="shared" ca="1" si="3"/>
        <v>0</v>
      </c>
      <c r="D27" s="479">
        <f t="shared" si="4"/>
        <v>0</v>
      </c>
      <c r="E27" s="479">
        <f t="shared" si="5"/>
        <v>0</v>
      </c>
      <c r="F27" s="479">
        <f t="shared" si="6"/>
        <v>0</v>
      </c>
      <c r="G27" s="479">
        <f t="shared" si="7"/>
        <v>67.011105652258877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67.011105652258877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23110.952722657767</v>
      </c>
      <c r="C31" s="489">
        <f t="shared" ca="1" si="18"/>
        <v>0</v>
      </c>
      <c r="D31" s="489">
        <f t="shared" ca="1" si="18"/>
        <v>30244.704668406572</v>
      </c>
      <c r="E31" s="489">
        <f t="shared" si="18"/>
        <v>1602.3588265078781</v>
      </c>
      <c r="F31" s="489">
        <f t="shared" ca="1" si="18"/>
        <v>12156.453105521839</v>
      </c>
      <c r="G31" s="489">
        <f t="shared" si="18"/>
        <v>26197.754586338859</v>
      </c>
      <c r="H31" s="489">
        <f t="shared" si="18"/>
        <v>4308.3757871433299</v>
      </c>
      <c r="I31" s="489">
        <f t="shared" si="18"/>
        <v>0</v>
      </c>
      <c r="J31" s="489">
        <f t="shared" si="18"/>
        <v>1177.1872357778168</v>
      </c>
      <c r="K31" s="489">
        <f t="shared" si="18"/>
        <v>0</v>
      </c>
      <c r="L31" s="489">
        <f t="shared" ca="1" si="18"/>
        <v>0</v>
      </c>
      <c r="M31" s="489">
        <f t="shared" si="18"/>
        <v>0</v>
      </c>
      <c r="N31" s="489">
        <f t="shared" ca="1" si="18"/>
        <v>0</v>
      </c>
      <c r="O31" s="489">
        <f t="shared" si="18"/>
        <v>0</v>
      </c>
      <c r="P31" s="490">
        <f t="shared" si="18"/>
        <v>0</v>
      </c>
      <c r="Q31" s="490">
        <f t="shared" ca="1" si="18"/>
        <v>98797.786932354065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0.17414366054845992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0.17414366054845992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0.17414366054845992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2018-06-27T09:37:34Z</dcterms:modified>
</cp:coreProperties>
</file>