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8" i="17"/>
  <c r="D12" s="1"/>
  <c r="E48" i="14" s="1"/>
  <c r="J15" i="16"/>
  <c r="F8" i="17"/>
  <c r="G22" i="14" s="1"/>
  <c r="L16" i="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N8" i="17"/>
  <c r="O22" i="14" s="1"/>
  <c r="B35" i="13"/>
  <c r="O22" i="16"/>
  <c r="P39" i="14" s="1"/>
  <c r="O18" i="16"/>
  <c r="P13" i="14" s="1"/>
  <c r="B36" i="13"/>
  <c r="G31" i="20"/>
  <c r="H43" i="14" s="1"/>
  <c r="G12" i="22"/>
  <c r="D18" i="16"/>
  <c r="D22" s="1"/>
  <c r="E39" i="14" s="1"/>
  <c r="E8" i="17"/>
  <c r="E12" s="1"/>
  <c r="F48"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F22" i="14" l="1"/>
  <c r="G14" i="22"/>
  <c r="G9" i="48" s="1"/>
  <c r="E7"/>
  <c r="E24" s="1"/>
  <c r="P41" i="14"/>
  <c r="P53" s="1"/>
  <c r="P55" s="1"/>
  <c r="D8" i="48"/>
  <c r="D25" s="1"/>
  <c r="J16" i="15"/>
  <c r="J5" i="48" s="1"/>
  <c r="J22" s="1"/>
  <c r="E20" i="15"/>
  <c r="F36" i="14" s="1"/>
  <c r="E16" i="15"/>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R22" i="14" l="1"/>
  <c r="F18" i="16"/>
  <c r="G13" i="14" s="1"/>
  <c r="G15" s="1"/>
  <c r="G23" s="1"/>
  <c r="M16" i="18"/>
  <c r="M19" s="1"/>
  <c r="K10" i="14"/>
  <c r="R10" s="1"/>
  <c r="J18" i="16"/>
  <c r="J22" s="1"/>
  <c r="K39" i="14"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E14" i="48"/>
  <c r="Q4"/>
  <c r="N22"/>
  <c r="N31" s="1"/>
  <c r="N14"/>
  <c r="R11" i="14"/>
  <c r="J21" i="48"/>
  <c r="K41" i="14" l="1"/>
  <c r="K53" s="1"/>
  <c r="K55" s="1"/>
  <c r="F8" i="48"/>
  <c r="K15" i="14"/>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<sst xmlns="http://schemas.openxmlformats.org/spreadsheetml/2006/main" count="1959" uniqueCount="841">
  <si>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</si>
  <si>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</si>
  <si>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</si>
  <si>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</si>
  <si>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</si>
  <si>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</si>
  <si>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</si>
  <si>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</si>
  <si>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</si>
  <si>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</si>
  <si>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</si>
  <si>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</si>
  <si>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</si>
  <si>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</si>
  <si>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</si>
  <si>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</si>
  <si>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</si>
  <si>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</si>
  <si>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</si>
  <si>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</si>
  <si>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</si>
  <si>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</si>
  <si>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</si>
  <si>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</si>
  <si>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</si>
  <si>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</si>
  <si>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</si>
  <si>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</si>
  <si>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</si>
  <si>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</si>
  <si>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</si>
  <si>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</si>
  <si>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</si>
  <si>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</si>
  <si>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</si>
  <si>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</si>
  <si>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</si>
  <si>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</si>
  <si>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</si>
  <si>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</si>
  <si>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</si>
  <si>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</si>
  <si>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</si>
  <si>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</si>
  <si>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</si>
  <si>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</si>
  <si>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</si>
  <si>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</si>
  <si>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</si>
  <si>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</si>
  <si>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</si>
  <si>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</si>
  <si>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</si>
  <si>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</si>
  <si>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</si>
  <si>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</si>
  <si>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</si>
  <si>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</si>
  <si>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</si>
  <si>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</si>
  <si>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</si>
  <si>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</si>
  <si>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</si>
  <si>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</si>
  <si>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</si>
  <si>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</si>
  <si>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</si>
  <si>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</si>
  <si>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</si>
  <si>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</si>
  <si>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</si>
  <si>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</si>
  <si>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</si>
  <si>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</si>
  <si>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</si>
  <si>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</si>
  <si>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</si>
  <si>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</si>
  <si>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</si>
  <si>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</si>
  <si>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</si>
  <si>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</si>
  <si>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</si>
  <si>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</si>
  <si>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</si>
  <si>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</si>
  <si>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</si>
  <si>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</si>
  <si>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</si>
  <si>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</si>
  <si>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</si>
  <si>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</si>
  <si>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</si>
  <si>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</si>
  <si>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</si>
  <si>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</si>
  <si>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</si>
  <si>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</si>
  <si>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</si>
  <si>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</si>
  <si>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</si>
  <si>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</si>
  <si>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</si>
  <si>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</si>
  <si>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</si>
  <si>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</si>
  <si>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</si>
  <si>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</si>
  <si>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</si>
  <si>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</si>
  <si>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</si>
  <si>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</si>
  <si>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</si>
  <si>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</si>
  <si>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</si>
  <si>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</si>
  <si>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</si>
  <si>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</si>
  <si>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</si>
  <si>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</si>
  <si>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</si>
  <si>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</si>
  <si>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</si>
  <si>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</si>
  <si>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</si>
  <si>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</si>
  <si>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</si>
  <si>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</si>
  <si>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</si>
  <si>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</si>
  <si>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</si>
  <si>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</si>
  <si>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</si>
  <si>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</si>
  <si>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</si>
  <si>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</si>
  <si>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</si>
  <si>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</si>
  <si>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</si>
  <si>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</si>
  <si>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</si>
  <si>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</si>
  <si>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</si>
  <si>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</si>
  <si>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</si>
  <si>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</si>
  <si>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</si>
  <si>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</si>
  <si>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</si>
  <si>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</si>
  <si>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</si>
  <si>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</si>
  <si>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</si>
  <si>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</si>
  <si>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</si>
  <si>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</si>
  <si>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</si>
  <si>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</si>
  <si>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</si>
  <si>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</si>
  <si>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</si>
  <si>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</si>
  <si>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</si>
  <si>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</si>
  <si>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</si>
  <si>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</si>
  <si>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</si>
  <si>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</si>
  <si>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</si>
  <si>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</si>
  <si>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</si>
  <si>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</si>
  <si>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</si>
  <si>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</si>
  <si>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</si>
  <si>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</si>
  <si>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</si>
  <si>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</si>
  <si>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</si>
  <si>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</si>
  <si>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</si>
  <si>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</si>
  <si>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</si>
  <si>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</si>
  <si>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</si>
  <si>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</si>
  <si>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</si>
  <si>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</si>
  <si>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</si>
  <si>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</si>
  <si>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</si>
  <si>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</si>
  <si>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</si>
  <si>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</si>
  <si>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</si>
  <si>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</si>
  <si>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</si>
  <si>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</si>
  <si>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</si>
  <si>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</si>
  <si>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</si>
  <si>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</si>
  <si>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</si>
  <si>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</si>
  <si>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</si>
  <si>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</si>
  <si>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</si>
  <si>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</si>
  <si>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</si>
  <si>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</si>
  <si>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</si>
  <si>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</si>
  <si>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</si>
  <si>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</si>
  <si>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</si>
  <si>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</si>
  <si>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</si>
  <si>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</si>
  <si>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</si>
  <si>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</si>
  <si>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</si>
  <si>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</si>
  <si>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</si>
  <si>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</si>
  <si>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</si>
  <si>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</si>
  <si>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</si>
  <si>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</si>
  <si>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</si>
  <si>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</si>
  <si>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</si>
  <si>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</si>
  <si>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</si>
  <si>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</si>
  <si>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</si>
  <si>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</si>
  <si>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</si>
  <si>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</si>
  <si>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</si>
  <si>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</si>
  <si>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</si>
  <si>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</si>
  <si>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</si>
  <si>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</si>
  <si>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</si>
  <si>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</si>
  <si>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</si>
  <si>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</si>
  <si>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</si>
  <si>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</si>
  <si>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</si>
  <si>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</si>
  <si>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</si>
  <si>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</si>
  <si>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</si>
  <si>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</si>
  <si>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</si>
  <si>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</si>
  <si>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</si>
  <si>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</si>
  <si>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</si>
  <si>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</si>
  <si>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</si>
  <si>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</si>
  <si>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</si>
  <si>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</si>
  <si>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</si>
  <si>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</si>
  <si>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</si>
  <si>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</si>
  <si>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</si>
  <si>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</si>
  <si>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</si>
  <si>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</si>
  <si>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</si>
  <si>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</si>
  <si>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</si>
  <si>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</si>
  <si>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</si>
  <si>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</si>
  <si>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</si>
  <si>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</si>
  <si>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</si>
  <si>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</si>
  <si>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</si>
  <si>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</si>
  <si>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</si>
  <si>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</si>
  <si>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</si>
  <si>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</si>
  <si>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</si>
  <si>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</si>
  <si>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</si>
  <si>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</si>
  <si>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</si>
  <si>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</si>
  <si>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</si>
  <si>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</si>
  <si>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</si>
  <si>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</si>
  <si>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</si>
  <si>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</si>
  <si>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</si>
  <si>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</si>
  <si>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</si>
  <si>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</si>
  <si>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</si>
  <si>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</si>
  <si>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</si>
  <si>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</si>
  <si>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</si>
  <si>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</si>
  <si>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</si>
  <si>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</si>
  <si>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</si>
  <si>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</si>
  <si>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</si>
  <si>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</si>
  <si>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</si>
  <si>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</si>
  <si>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</si>
  <si>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</si>
  <si>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</si>
  <si>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</si>
  <si>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</si>
  <si>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</si>
  <si>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</si>
  <si>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</si>
  <si>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</si>
  <si>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</si>
  <si>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</si>
  <si>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</si>
  <si>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</si>
  <si>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</si>
  <si>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</si>
  <si>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</si>
  <si>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</si>
  <si>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</si>
  <si>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</si>
  <si>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</si>
  <si>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</si>
  <si>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</si>
  <si>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</si>
  <si>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</si>
  <si>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</si>
  <si>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</si>
  <si>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</si>
  <si>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</si>
  <si>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</si>
  <si>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</si>
  <si>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</si>
  <si>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</si>
  <si>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</si>
  <si>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</si>
  <si>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</si>
  <si>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</si>
  <si>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</si>
  <si>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</si>
  <si>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</si>
  <si>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</si>
  <si>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</si>
  <si>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</si>
  <si>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</si>
  <si>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</si>
  <si>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</si>
  <si>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</si>
  <si>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</si>
  <si>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</si>
  <si>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</si>
  <si>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</si>
  <si>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</si>
  <si>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</si>
  <si>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</si>
  <si>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</si>
  <si>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</si>
  <si>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</si>
  <si>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</si>
  <si>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</si>
  <si>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</si>
  <si>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</si>
  <si>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</si>
  <si>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</si>
  <si>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</si>
  <si>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</si>
  <si>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</si>
  <si>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</si>
  <si>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</si>
  <si>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</si>
  <si>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</si>
  <si>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</si>
  <si>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</si>
  <si>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</si>
  <si>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</si>
  <si>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</si>
  <si>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</si>
  <si>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</si>
  <si>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</si>
  <si>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</si>
  <si>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</si>
  <si>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</si>
  <si>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</si>
  <si>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</si>
  <si>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</si>
  <si>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</si>
  <si>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</si>
  <si>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</si>
  <si>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</si>
  <si>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</si>
  <si>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</si>
  <si>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</si>
  <si>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</si>
  <si>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</si>
  <si>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</si>
  <si>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</si>
  <si>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</si>
  <si>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</si>
  <si>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</si>
  <si>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</si>
  <si>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</si>
  <si>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</si>
  <si>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</si>
  <si>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</si>
  <si>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</si>
  <si>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</si>
  <si>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</si>
  <si>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</si>
  <si>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</si>
  <si>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</si>
  <si>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</si>
  <si>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</si>
  <si>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</si>
  <si>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</si>
  <si>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</si>
  <si>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</si>
  <si>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</si>
  <si>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</si>
  <si>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</si>
  <si>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</si>
  <si>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</si>
  <si>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</si>
  <si>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</si>
  <si>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</si>
  <si>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</si>
  <si>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</si>
  <si>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</si>
  <si>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</si>
  <si>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</si>
  <si>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</si>
  <si>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</si>
  <si>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</si>
  <si>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</si>
  <si>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</si>
  <si>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</si>
  <si>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</si>
  <si>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</si>
  <si>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</si>
  <si>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</si>
  <si>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</si>
  <si>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</si>
  <si>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</si>
  <si>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</si>
  <si>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</si>
  <si>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</si>
  <si>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</si>
  <si>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</si>
  <si>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</si>
  <si>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</si>
  <si>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</si>
  <si>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</si>
  <si>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</si>
  <si>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</si>
  <si>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</si>
  <si>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</si>
  <si>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</si>
  <si>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</si>
  <si>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</si>
  <si>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</si>
  <si>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</si>
  <si>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</si>
  <si>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</si>
  <si>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</si>
  <si>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</si>
  <si>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</si>
  <si>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</si>
  <si>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</si>
  <si>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</si>
  <si>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</si>
  <si>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</si>
  <si>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</si>
  <si>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</si>
  <si>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</si>
  <si>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</si>
  <si>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</si>
  <si>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</si>
  <si>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</si>
  <si>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</si>
  <si>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</si>
  <si>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</si>
  <si>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</si>
  <si>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</si>
  <si>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</si>
  <si>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</si>
  <si>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</si>
  <si>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</si>
  <si>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</si>
  <si>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</si>
  <si>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</si>
  <si>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</si>
  <si>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</si>
  <si>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</si>
  <si>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</si>
  <si>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</si>
  <si>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</si>
  <si>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</si>
  <si>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</si>
  <si>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</si>
  <si>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</si>
  <si>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</si>
  <si>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</si>
  <si>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</si>
  <si>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</si>
  <si>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</si>
  <si>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</si>
  <si>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</si>
  <si>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</si>
  <si>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</si>
  <si>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</si>
  <si>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</si>
  <si>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</si>
  <si>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</si>
  <si>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</si>
  <si>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</si>
  <si>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</si>
  <si>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</si>
  <si>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</si>
  <si>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</si>
  <si>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</si>
  <si>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</si>
  <si>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</si>
  <si>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</si>
  <si>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</si>
  <si>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</si>
  <si>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</si>
  <si>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</si>
  <si>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</si>
  <si>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</si>
  <si>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</si>
  <si>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</si>
  <si>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</si>
  <si>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</si>
  <si>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</si>
  <si>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</si>
  <si>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</si>
  <si>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</si>
  <si>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</si>
  <si>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</si>
  <si>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</si>
  <si>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</si>
  <si>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</si>
  <si>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</si>
  <si>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</si>
  <si>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</si>
  <si>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</si>
  <si>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</si>
  <si>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</si>
  <si>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</si>
  <si>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</si>
  <si>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</si>
  <si>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</si>
  <si>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</si>
  <si>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</si>
  <si>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</si>
  <si>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</si>
  <si>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</si>
  <si>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</si>
  <si>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</si>
  <si>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</si>
  <si>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</si>
  <si>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</si>
  <si>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</si>
  <si>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</si>
  <si>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</si>
  <si>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</si>
  <si>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</si>
  <si>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</si>
  <si>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</si>
  <si>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</si>
  <si>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</si>
  <si>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</si>
  <si>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</si>
  <si>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</si>
  <si>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</si>
  <si>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</si>
  <si>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</si>
  <si>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</si>
  <si>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</si>
  <si>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</si>
  <si>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</si>
  <si>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</si>
  <si>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</si>
  <si>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</si>
  <si>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</si>
  <si>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</si>
  <si>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</si>
  <si>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</si>
  <si>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</si>
  <si>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</si>
  <si>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</si>
  <si>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</si>
  <si>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</si>
  <si>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</si>
  <si>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</si>
  <si>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</si>
  <si>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</si>
  <si>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</si>
  <si>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</si>
  <si>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</si>
  <si>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</si>
  <si>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</si>
  <si>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</si>
  <si>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</si>
  <si>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</si>
  <si>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</si>
  <si>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</si>
  <si>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</si>
  <si>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</si>
  <si>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</si>
  <si>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</si>
  <si>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</si>
  <si>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</si>
  <si>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</si>
  <si>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</si>
  <si>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</si>
  <si>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</si>
  <si>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</si>
  <si>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</si>
  <si>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</si>
  <si>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</si>
  <si>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</si>
  <si>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</si>
  <si>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</si>
  <si>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</si>
  <si>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</si>
  <si>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</si>
  <si>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</si>
  <si>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</si>
  <si>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</si>
  <si>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</si>
  <si>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</si>
  <si>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</si>
  <si>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</si>
  <si>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</si>
  <si>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</si>
  <si>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</si>
  <si>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</si>
  <si>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</si>
  <si>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</si>
  <si>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</si>
  <si>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</si>
  <si>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</si>
  <si>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</si>
  <si>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</si>
  <si>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</si>
  <si>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</si>
  <si>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</si>
  <si>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</si>
  <si>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</si>
  <si>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</si>
  <si>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</si>
  <si>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</si>
  <si>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</si>
  <si>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</si>
  <si>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</si>
  <si>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</si>
  <si>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</si>
  <si>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</si>
  <si>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</si>
  <si>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</si>
  <si>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</si>
  <si>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</si>
  <si>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</si>
  <si>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</si>
  <si>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</si>
  <si>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</si>
  <si>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</si>
  <si>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</si>
  <si>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</si>
  <si>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</si>
  <si>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</si>
  <si>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</si>
  <si>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</si>
  <si>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</si>
  <si>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</si>
  <si>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</si>
  <si>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</si>
  <si>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</si>
  <si>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</si>
  <si>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</si>
  <si>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</si>
  <si>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</si>
  <si>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</si>
  <si>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</si>
  <si>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</si>
  <si>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</si>
  <si>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</si>
  <si>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</si>
  <si>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</si>
  <si>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</si>
  <si>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</si>
  <si>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</si>
  <si>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</si>
  <si>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</si>
  <si>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</si>
  <si>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</si>
  <si>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</si>
  <si>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</si>
  <si>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</si>
  <si>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</si>
  <si>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</si>
  <si>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</si>
  <si>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</si>
  <si>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</si>
  <si>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</si>
  <si>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</si>
  <si>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</si>
  <si>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</si>
  <si>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</si>
  <si>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</si>
  <si>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</si>
  <si>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</si>
  <si>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</si>
  <si>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</si>
  <si>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</si>
  <si>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</si>
  <si>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</si>
  <si>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</si>
  <si>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</si>
  <si>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</si>
  <si>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</si>
  <si>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</si>
  <si>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</si>
  <si>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</si>
  <si>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</si>
  <si>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</si>
  <si>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</si>
  <si>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</si>
  <si>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</si>
  <si>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</si>
  <si>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</si>
  <si>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</si>
  <si>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</si>
  <si>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</si>
  <si>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</si>
  <si>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</si>
  <si>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</si>
  <si>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</si>
  <si>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</si>
  <si>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</si>
  <si>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</si>
  <si>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</si>
  <si>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</si>
  <si>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</si>
  <si>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</si>
  <si>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</si>
  <si>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</si>
  <si>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</si>
  <si>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</si>
  <si>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</si>
  <si>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</si>
  <si>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</si>
  <si>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</si>
  <si>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</si>
  <si>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</si>
  <si>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</si>
  <si>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</si>
  <si>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</si>
  <si>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</si>
  <si>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</si>
  <si>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</si>
  <si>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</si>
  <si>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</si>
  <si>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</si>
  <si>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</si>
  <si>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</si>
  <si>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</si>
  <si>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</si>
  <si>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</si>
  <si>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</si>
  <si>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</si>
  <si>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</si>
  <si>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</si>
  <si>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</si>
  <si>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</si>
  <si>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</si>
  <si>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</si>
  <si>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</si>
  <si>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</si>
  <si>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</si>
  <si>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</si>
  <si>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</si>
  <si>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</si>
  <si>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</si>
  <si>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</si>
  <si>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</si>
  <si>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</si>
  <si>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</si>
  <si>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</si>
  <si>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</si>
  <si>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</si>
  <si>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</si>
  <si>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</si>
  <si>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</si>
  <si>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</si>
  <si>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</si>
  <si>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</si>
  <si>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</si>
  <si>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</si>
  <si>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</si>
  <si>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</si>
  <si>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</si>
  <si>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</si>
  <si>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</si>
  <si>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</si>
  <si>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</si>
  <si>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</si>
  <si>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</si>
  <si>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41048</t>
  </si>
  <si>
    <t>NINOVE</t>
  </si>
  <si>
    <t>Paarden&amp;pony's 200 - 600 kg</t>
  </si>
  <si>
    <t>Paarden&amp;pony's &lt; 200 kg</t>
  </si>
  <si>
    <t>referentietaak LNE (2017); Jaarverslag De Lijn (2014)</t>
  </si>
  <si>
    <t>op basis van VEA (maart 2018) en Inventaris Hernieuwbare Energiebronnen (juni 2018)</t>
  </si>
  <si>
    <t>VEA (maart 2016)</t>
  </si>
  <si>
    <t>VEA (juni 2018)</t>
  </si>
  <si>
    <t>DvD E-Consult bvba</t>
  </si>
  <si>
    <t>Zolderstraat 25 , 8553 Otegem</t>
  </si>
  <si>
    <t>BGS-0048 Voorde Stort</t>
  </si>
  <si>
    <t>biogas - stortgas</t>
  </si>
  <si>
    <t>niet WKK interne verbrandingsmotor (gas)</t>
  </si>
  <si>
    <t>Geraardsbergsesteenweg 660 , 9400 Voorde</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</si>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</sst>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300521.45242217492</c:v>
                </c:pt>
                <c:pt idx="1">
                  <c:v>96854.371592474839</c:v>
                </c:pt>
                <c:pt idx="2">
                  <c:v>2562.3310000000001</c:v>
                </c:pt>
                <c:pt idx="3">
                  <c:v>9006.0542873606009</c:v>
                </c:pt>
                <c:pt idx="4">
                  <c:v>153740.17280941235</c:v>
                </c:pt>
                <c:pt idx="5">
                  <c:v>191903.14086460398</c:v>
                </c:pt>
                <c:pt idx="6">
                  <c:v>2984.8818142868081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300521.45242217492</c:v>
                </c:pt>
                <c:pt idx="1">
                  <c:v>96854.371592474839</c:v>
                </c:pt>
                <c:pt idx="2">
                  <c:v>2562.3310000000001</c:v>
                </c:pt>
                <c:pt idx="3">
                  <c:v>9006.0542873606009</c:v>
                </c:pt>
                <c:pt idx="4">
                  <c:v>153740.17280941235</c:v>
                </c:pt>
                <c:pt idx="5">
                  <c:v>191903.14086460398</c:v>
                </c:pt>
                <c:pt idx="6">
                  <c:v>2984.8818142868081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61693.565676736391</c:v>
                </c:pt>
                <c:pt idx="1">
                  <c:v>20235.170098141421</c:v>
                </c:pt>
                <c:pt idx="2">
                  <c:v>528.92507731698822</c:v>
                </c:pt>
                <c:pt idx="3">
                  <c:v>2054.6786995756197</c:v>
                </c:pt>
                <c:pt idx="4">
                  <c:v>30997.196001763481</c:v>
                </c:pt>
                <c:pt idx="5">
                  <c:v>48109.568586512702</c:v>
                </c:pt>
                <c:pt idx="6">
                  <c:v>753.96690949817014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5168"/>
        <c:axId val="177185152"/>
      </c:barChart>
      <c:catAx>
        <c:axId val="177175168"/>
        <c:scaling>
          <c:orientation val="minMax"/>
        </c:scaling>
        <c:axPos val="b"/>
        <c:numFmt formatCode="General" sourceLinked="0"/>
        <c:tickLblPos val="nextTo"/>
        <c:crossAx val="177185152"/>
        <c:crosses val="autoZero"/>
        <c:auto val="1"/>
        <c:lblAlgn val="ctr"/>
        <c:lblOffset val="100"/>
      </c:catAx>
      <c:valAx>
        <c:axId val="177185152"/>
        <c:scaling>
          <c:orientation val="minMax"/>
        </c:scaling>
        <c:axPos val="l"/>
        <c:majorGridlines/>
        <c:numFmt formatCode="#,##0" sourceLinked="1"/>
        <c:tickLblPos val="nextTo"/>
        <c:crossAx val="1771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61693.565676736391</c:v>
                </c:pt>
                <c:pt idx="1">
                  <c:v>20235.170098141421</c:v>
                </c:pt>
                <c:pt idx="2">
                  <c:v>528.92507731698822</c:v>
                </c:pt>
                <c:pt idx="3">
                  <c:v>2054.6786995756197</c:v>
                </c:pt>
                <c:pt idx="4">
                  <c:v>30997.196001763481</c:v>
                </c:pt>
                <c:pt idx="5">
                  <c:v>48109.568586512702</c:v>
                </c:pt>
                <c:pt idx="6">
                  <c:v>753.96690949817014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41048</v>
      </c>
      <c r="B6" s="416"/>
      <c r="C6" s="417"/>
    </row>
    <row r="7" spans="1:7" s="414" customFormat="1" ht="15.75" customHeight="1">
      <c r="A7" s="418" t="str">
        <f>txtMunicipality</f>
        <v>NINOVE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41048</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15851</v>
      </c>
      <c r="C9" s="342">
        <v>17074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3896</v>
      </c>
    </row>
    <row r="15" spans="1:6">
      <c r="A15" s="348" t="s">
        <v>184</v>
      </c>
      <c r="B15" s="334">
        <v>169</v>
      </c>
    </row>
    <row r="16" spans="1:6">
      <c r="A16" s="348" t="s">
        <v>6</v>
      </c>
      <c r="B16" s="334">
        <v>1499</v>
      </c>
    </row>
    <row r="17" spans="1:6">
      <c r="A17" s="348" t="s">
        <v>7</v>
      </c>
      <c r="B17" s="334">
        <v>1174</v>
      </c>
    </row>
    <row r="18" spans="1:6">
      <c r="A18" s="348" t="s">
        <v>8</v>
      </c>
      <c r="B18" s="334">
        <v>1917</v>
      </c>
    </row>
    <row r="19" spans="1:6">
      <c r="A19" s="348" t="s">
        <v>9</v>
      </c>
      <c r="B19" s="334">
        <v>1837</v>
      </c>
    </row>
    <row r="20" spans="1:6">
      <c r="A20" s="348" t="s">
        <v>10</v>
      </c>
      <c r="B20" s="334">
        <v>1658</v>
      </c>
    </row>
    <row r="21" spans="1:6">
      <c r="A21" s="348" t="s">
        <v>11</v>
      </c>
      <c r="B21" s="334">
        <v>362</v>
      </c>
    </row>
    <row r="22" spans="1:6">
      <c r="A22" s="348" t="s">
        <v>12</v>
      </c>
      <c r="B22" s="334">
        <v>1720</v>
      </c>
    </row>
    <row r="23" spans="1:6">
      <c r="A23" s="348" t="s">
        <v>13</v>
      </c>
      <c r="B23" s="334">
        <v>8</v>
      </c>
    </row>
    <row r="24" spans="1:6">
      <c r="A24" s="348" t="s">
        <v>14</v>
      </c>
      <c r="B24" s="334">
        <v>2</v>
      </c>
    </row>
    <row r="25" spans="1:6">
      <c r="A25" s="348" t="s">
        <v>15</v>
      </c>
      <c r="B25" s="334">
        <v>187</v>
      </c>
    </row>
    <row r="26" spans="1:6">
      <c r="A26" s="348" t="s">
        <v>16</v>
      </c>
      <c r="B26" s="334">
        <v>375</v>
      </c>
    </row>
    <row r="27" spans="1:6">
      <c r="A27" s="348" t="s">
        <v>17</v>
      </c>
      <c r="B27" s="334">
        <v>4</v>
      </c>
    </row>
    <row r="28" spans="1:6" s="356" customFormat="1">
      <c r="A28" s="355" t="s">
        <v>18</v>
      </c>
      <c r="B28" s="355">
        <v>48</v>
      </c>
    </row>
    <row r="29" spans="1:6">
      <c r="A29" s="355" t="s">
        <v>828</v>
      </c>
      <c r="B29" s="355">
        <v>168</v>
      </c>
      <c r="C29" s="356"/>
      <c r="D29" s="356"/>
      <c r="E29" s="356"/>
      <c r="F29" s="356"/>
    </row>
    <row r="30" spans="1:6">
      <c r="A30" s="341" t="s">
        <v>829</v>
      </c>
      <c r="B30" s="341">
        <v>50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7842.8059999999996</v>
      </c>
    </row>
    <row r="37" spans="1:6">
      <c r="A37" s="348" t="s">
        <v>25</v>
      </c>
      <c r="B37" s="348" t="s">
        <v>28</v>
      </c>
      <c r="C37" s="334">
        <v>0</v>
      </c>
      <c r="D37" s="334">
        <v>0</v>
      </c>
      <c r="E37" s="334">
        <v>0</v>
      </c>
      <c r="F37" s="334">
        <v>0</v>
      </c>
    </row>
    <row r="38" spans="1:6">
      <c r="A38" s="348" t="s">
        <v>25</v>
      </c>
      <c r="B38" s="348" t="s">
        <v>29</v>
      </c>
      <c r="C38" s="334">
        <v>2</v>
      </c>
      <c r="D38" s="334">
        <v>147059.360888058</v>
      </c>
      <c r="E38" s="334">
        <v>3</v>
      </c>
      <c r="F38" s="334">
        <v>8956.8209999999999</v>
      </c>
    </row>
    <row r="39" spans="1:6">
      <c r="A39" s="348" t="s">
        <v>30</v>
      </c>
      <c r="B39" s="348" t="s">
        <v>31</v>
      </c>
      <c r="C39" s="334">
        <v>8068</v>
      </c>
      <c r="D39" s="334">
        <v>110343816.26833101</v>
      </c>
      <c r="E39" s="334">
        <v>15767</v>
      </c>
      <c r="F39" s="334">
        <v>65315677</v>
      </c>
    </row>
    <row r="40" spans="1:6">
      <c r="A40" s="348" t="s">
        <v>30</v>
      </c>
      <c r="B40" s="348" t="s">
        <v>29</v>
      </c>
      <c r="C40" s="334">
        <v>0</v>
      </c>
      <c r="D40" s="334">
        <v>0</v>
      </c>
      <c r="E40" s="334">
        <v>0</v>
      </c>
      <c r="F40" s="334">
        <v>0</v>
      </c>
    </row>
    <row r="41" spans="1:6">
      <c r="A41" s="348" t="s">
        <v>32</v>
      </c>
      <c r="B41" s="348" t="s">
        <v>33</v>
      </c>
      <c r="C41" s="334">
        <v>60</v>
      </c>
      <c r="D41" s="334">
        <v>1512643.1848417199</v>
      </c>
      <c r="E41" s="334">
        <v>247</v>
      </c>
      <c r="F41" s="334">
        <v>2588875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402856.85023173701</v>
      </c>
      <c r="E44" s="334">
        <v>27</v>
      </c>
      <c r="F44" s="334">
        <v>2828009</v>
      </c>
    </row>
    <row r="45" spans="1:6">
      <c r="A45" s="348" t="s">
        <v>32</v>
      </c>
      <c r="B45" s="348" t="s">
        <v>37</v>
      </c>
      <c r="C45" s="334">
        <v>0</v>
      </c>
      <c r="D45" s="334">
        <v>0</v>
      </c>
      <c r="E45" s="334">
        <v>4</v>
      </c>
      <c r="F45" s="334">
        <v>501915.2</v>
      </c>
    </row>
    <row r="46" spans="1:6">
      <c r="A46" s="348" t="s">
        <v>32</v>
      </c>
      <c r="B46" s="348" t="s">
        <v>38</v>
      </c>
      <c r="C46" s="334">
        <v>0</v>
      </c>
      <c r="D46" s="334">
        <v>0</v>
      </c>
      <c r="E46" s="334">
        <v>0</v>
      </c>
      <c r="F46" s="334">
        <v>0</v>
      </c>
    </row>
    <row r="47" spans="1:6">
      <c r="A47" s="348" t="s">
        <v>32</v>
      </c>
      <c r="B47" s="348" t="s">
        <v>39</v>
      </c>
      <c r="C47" s="334">
        <v>0</v>
      </c>
      <c r="D47" s="334">
        <v>0</v>
      </c>
      <c r="E47" s="334">
        <v>7</v>
      </c>
      <c r="F47" s="334">
        <v>266092</v>
      </c>
    </row>
    <row r="48" spans="1:6">
      <c r="A48" s="348" t="s">
        <v>32</v>
      </c>
      <c r="B48" s="348" t="s">
        <v>29</v>
      </c>
      <c r="C48" s="334">
        <v>58</v>
      </c>
      <c r="D48" s="334">
        <v>27373010.297012199</v>
      </c>
      <c r="E48" s="334">
        <v>108</v>
      </c>
      <c r="F48" s="334">
        <v>27332374</v>
      </c>
    </row>
    <row r="49" spans="1:6">
      <c r="A49" s="348" t="s">
        <v>32</v>
      </c>
      <c r="B49" s="348" t="s">
        <v>40</v>
      </c>
      <c r="C49" s="334">
        <v>0</v>
      </c>
      <c r="D49" s="334">
        <v>0</v>
      </c>
      <c r="E49" s="334">
        <v>0</v>
      </c>
      <c r="F49" s="334">
        <v>0</v>
      </c>
    </row>
    <row r="50" spans="1:6">
      <c r="A50" s="348" t="s">
        <v>32</v>
      </c>
      <c r="B50" s="348" t="s">
        <v>41</v>
      </c>
      <c r="C50" s="334">
        <v>15</v>
      </c>
      <c r="D50" s="334">
        <v>27194307.894712999</v>
      </c>
      <c r="E50" s="334">
        <v>30</v>
      </c>
      <c r="F50" s="334">
        <v>14970043</v>
      </c>
    </row>
    <row r="51" spans="1:6">
      <c r="A51" s="348" t="s">
        <v>42</v>
      </c>
      <c r="B51" s="348" t="s">
        <v>43</v>
      </c>
      <c r="C51" s="334">
        <v>6</v>
      </c>
      <c r="D51" s="334">
        <v>208572.56342647399</v>
      </c>
      <c r="E51" s="334">
        <v>88</v>
      </c>
      <c r="F51" s="334">
        <v>1067775</v>
      </c>
    </row>
    <row r="52" spans="1:6">
      <c r="A52" s="348" t="s">
        <v>42</v>
      </c>
      <c r="B52" s="348" t="s">
        <v>29</v>
      </c>
      <c r="C52" s="334">
        <v>5</v>
      </c>
      <c r="D52" s="334">
        <v>76651.567934737497</v>
      </c>
      <c r="E52" s="334">
        <v>15</v>
      </c>
      <c r="F52" s="334">
        <v>152989.5</v>
      </c>
    </row>
    <row r="53" spans="1:6">
      <c r="A53" s="348" t="s">
        <v>44</v>
      </c>
      <c r="B53" s="348" t="s">
        <v>45</v>
      </c>
      <c r="C53" s="334">
        <v>217</v>
      </c>
      <c r="D53" s="334">
        <v>4692063.7197898403</v>
      </c>
      <c r="E53" s="334">
        <v>579</v>
      </c>
      <c r="F53" s="334">
        <v>2952880</v>
      </c>
    </row>
    <row r="54" spans="1:6">
      <c r="A54" s="348" t="s">
        <v>46</v>
      </c>
      <c r="B54" s="348" t="s">
        <v>47</v>
      </c>
      <c r="C54" s="334">
        <v>0</v>
      </c>
      <c r="D54" s="334">
        <v>0</v>
      </c>
      <c r="E54" s="334">
        <v>1</v>
      </c>
      <c r="F54" s="334">
        <v>2562331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85</v>
      </c>
      <c r="D57" s="334">
        <v>3040506.3641518801</v>
      </c>
      <c r="E57" s="334">
        <v>186</v>
      </c>
      <c r="F57" s="334">
        <v>3844611</v>
      </c>
    </row>
    <row r="58" spans="1:6">
      <c r="A58" s="348" t="s">
        <v>49</v>
      </c>
      <c r="B58" s="348" t="s">
        <v>51</v>
      </c>
      <c r="C58" s="334">
        <v>32</v>
      </c>
      <c r="D58" s="334">
        <v>958441.66382975597</v>
      </c>
      <c r="E58" s="334">
        <v>61</v>
      </c>
      <c r="F58" s="334">
        <v>501674.1</v>
      </c>
    </row>
    <row r="59" spans="1:6">
      <c r="A59" s="348" t="s">
        <v>49</v>
      </c>
      <c r="B59" s="348" t="s">
        <v>52</v>
      </c>
      <c r="C59" s="334">
        <v>176</v>
      </c>
      <c r="D59" s="334">
        <v>14019592.0375815</v>
      </c>
      <c r="E59" s="334">
        <v>477</v>
      </c>
      <c r="F59" s="334">
        <v>21201218</v>
      </c>
    </row>
    <row r="60" spans="1:6">
      <c r="A60" s="348" t="s">
        <v>49</v>
      </c>
      <c r="B60" s="348" t="s">
        <v>53</v>
      </c>
      <c r="C60" s="334">
        <v>115</v>
      </c>
      <c r="D60" s="334">
        <v>4862469.2986095101</v>
      </c>
      <c r="E60" s="334">
        <v>190</v>
      </c>
      <c r="F60" s="334">
        <v>4636067</v>
      </c>
    </row>
    <row r="61" spans="1:6">
      <c r="A61" s="348" t="s">
        <v>49</v>
      </c>
      <c r="B61" s="348" t="s">
        <v>54</v>
      </c>
      <c r="C61" s="334">
        <v>156</v>
      </c>
      <c r="D61" s="334">
        <v>6366755.2738365699</v>
      </c>
      <c r="E61" s="334">
        <v>618</v>
      </c>
      <c r="F61" s="334">
        <v>8211333</v>
      </c>
    </row>
    <row r="62" spans="1:6">
      <c r="A62" s="348" t="s">
        <v>49</v>
      </c>
      <c r="B62" s="348" t="s">
        <v>55</v>
      </c>
      <c r="C62" s="334">
        <v>32</v>
      </c>
      <c r="D62" s="334">
        <v>5595727.4750777297</v>
      </c>
      <c r="E62" s="334">
        <v>19</v>
      </c>
      <c r="F62" s="334">
        <v>870174.1</v>
      </c>
    </row>
    <row r="63" spans="1:6">
      <c r="A63" s="348" t="s">
        <v>49</v>
      </c>
      <c r="B63" s="348" t="s">
        <v>29</v>
      </c>
      <c r="C63" s="334">
        <v>194</v>
      </c>
      <c r="D63" s="334">
        <v>10031004.2101472</v>
      </c>
      <c r="E63" s="334">
        <v>298</v>
      </c>
      <c r="F63" s="334">
        <v>7441982</v>
      </c>
    </row>
    <row r="64" spans="1:6">
      <c r="A64" s="348" t="s">
        <v>56</v>
      </c>
      <c r="B64" s="348" t="s">
        <v>57</v>
      </c>
      <c r="C64" s="334">
        <v>0</v>
      </c>
      <c r="D64" s="334">
        <v>0</v>
      </c>
      <c r="E64" s="334">
        <v>0</v>
      </c>
      <c r="F64" s="334">
        <v>0</v>
      </c>
    </row>
    <row r="65" spans="1:6">
      <c r="A65" s="348" t="s">
        <v>56</v>
      </c>
      <c r="B65" s="348" t="s">
        <v>29</v>
      </c>
      <c r="C65" s="334">
        <v>4</v>
      </c>
      <c r="D65" s="334">
        <v>194120.239350741</v>
      </c>
      <c r="E65" s="334">
        <v>11</v>
      </c>
      <c r="F65" s="334">
        <v>180691.4</v>
      </c>
    </row>
    <row r="66" spans="1:6">
      <c r="A66" s="348" t="s">
        <v>56</v>
      </c>
      <c r="B66" s="348" t="s">
        <v>58</v>
      </c>
      <c r="C66" s="334">
        <v>0</v>
      </c>
      <c r="D66" s="334">
        <v>0</v>
      </c>
      <c r="E66" s="334">
        <v>18</v>
      </c>
      <c r="F66" s="334">
        <v>698514.8</v>
      </c>
    </row>
    <row r="67" spans="1:6">
      <c r="A67" s="355" t="s">
        <v>56</v>
      </c>
      <c r="B67" s="355" t="s">
        <v>59</v>
      </c>
      <c r="C67" s="334">
        <v>0</v>
      </c>
      <c r="D67" s="334">
        <v>0</v>
      </c>
      <c r="E67" s="334">
        <v>0</v>
      </c>
      <c r="F67" s="334">
        <v>0</v>
      </c>
    </row>
    <row r="68" spans="1:6">
      <c r="A68" s="341" t="s">
        <v>56</v>
      </c>
      <c r="B68" s="341" t="s">
        <v>60</v>
      </c>
      <c r="C68" s="334">
        <v>3</v>
      </c>
      <c r="D68" s="334">
        <v>34645.487859903798</v>
      </c>
      <c r="E68" s="334">
        <v>7</v>
      </c>
      <c r="F68" s="334">
        <v>108412.2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140431251</v>
      </c>
      <c r="E73" s="477">
        <v>156668721.58466604</v>
      </c>
    </row>
    <row r="74" spans="1:6">
      <c r="A74" s="348" t="s">
        <v>64</v>
      </c>
      <c r="B74" s="348" t="s">
        <v>714</v>
      </c>
      <c r="C74" s="1229" t="s">
        <v>716</v>
      </c>
      <c r="D74" s="477">
        <v>19919097.158259917</v>
      </c>
      <c r="E74" s="477">
        <v>21646115.232161723</v>
      </c>
    </row>
    <row r="75" spans="1:6">
      <c r="A75" s="348" t="s">
        <v>65</v>
      </c>
      <c r="B75" s="348" t="s">
        <v>713</v>
      </c>
      <c r="C75" s="1229" t="s">
        <v>717</v>
      </c>
      <c r="D75" s="477">
        <v>52044023</v>
      </c>
      <c r="E75" s="477">
        <v>59572232.77437745</v>
      </c>
    </row>
    <row r="76" spans="1:6">
      <c r="A76" s="348" t="s">
        <v>65</v>
      </c>
      <c r="B76" s="348" t="s">
        <v>714</v>
      </c>
      <c r="C76" s="1229" t="s">
        <v>718</v>
      </c>
      <c r="D76" s="477">
        <v>2400795.1582599152</v>
      </c>
      <c r="E76" s="477">
        <v>2703595.2152746511</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797631.68348016951</v>
      </c>
      <c r="C83" s="477">
        <v>809289.6833457062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5273.4590681557884</v>
      </c>
    </row>
    <row r="92" spans="1:6">
      <c r="A92" s="341" t="s">
        <v>69</v>
      </c>
      <c r="B92" s="342">
        <v>3869.7129136281083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4030</v>
      </c>
    </row>
    <row r="98" spans="1:6">
      <c r="A98" s="348" t="s">
        <v>72</v>
      </c>
      <c r="B98" s="334">
        <v>2</v>
      </c>
    </row>
    <row r="99" spans="1:6">
      <c r="A99" s="348" t="s">
        <v>73</v>
      </c>
      <c r="B99" s="334">
        <v>188</v>
      </c>
    </row>
    <row r="100" spans="1:6">
      <c r="A100" s="348" t="s">
        <v>74</v>
      </c>
      <c r="B100" s="334">
        <v>1269</v>
      </c>
    </row>
    <row r="101" spans="1:6">
      <c r="A101" s="348" t="s">
        <v>75</v>
      </c>
      <c r="B101" s="334">
        <v>211</v>
      </c>
    </row>
    <row r="102" spans="1:6">
      <c r="A102" s="348" t="s">
        <v>76</v>
      </c>
      <c r="B102" s="334">
        <v>300</v>
      </c>
    </row>
    <row r="103" spans="1:6">
      <c r="A103" s="348" t="s">
        <v>77</v>
      </c>
      <c r="B103" s="334">
        <v>540</v>
      </c>
    </row>
    <row r="104" spans="1:6">
      <c r="A104" s="348" t="s">
        <v>78</v>
      </c>
      <c r="B104" s="334">
        <v>7256</v>
      </c>
    </row>
    <row r="105" spans="1:6">
      <c r="A105" s="341" t="s">
        <v>79</v>
      </c>
      <c r="B105" s="341">
        <v>9</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48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172</v>
      </c>
    </row>
    <row r="130" spans="1:6">
      <c r="A130" s="348" t="s">
        <v>295</v>
      </c>
      <c r="B130" s="334">
        <v>2</v>
      </c>
    </row>
    <row r="131" spans="1:6">
      <c r="A131" s="348" t="s">
        <v>296</v>
      </c>
      <c r="B131" s="334">
        <v>2</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171779.97838218126</v>
      </c>
      <c r="C3" s="43" t="s">
        <v>170</v>
      </c>
      <c r="D3" s="43"/>
      <c r="E3" s="154"/>
      <c r="F3" s="43"/>
      <c r="G3" s="43"/>
      <c r="H3" s="43"/>
      <c r="I3" s="43"/>
      <c r="J3" s="43"/>
      <c r="K3" s="96"/>
    </row>
    <row r="4" spans="1:11">
      <c r="A4" s="384" t="s">
        <v>171</v>
      </c>
      <c r="B4" s="49">
        <f>IF(ISERROR('SEAP template'!B69),0,'SEAP template'!B69)</f>
        <v>11330.171981783897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0.20642340014501959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2562.3310000000001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2562.3310000000001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0.20642340014501959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528.92507731698822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65315.677000000003</v>
      </c>
      <c r="C5" s="17">
        <f>IF(ISERROR('Eigen informatie GS &amp; warmtenet'!B57),0,'Eigen informatie GS &amp; warmtenet'!B57)</f>
        <v>0</v>
      </c>
      <c r="D5" s="30">
        <f>(SUM(HH_hh_gas_kWh,HH_rest_gas_kWh)/1000)*0.902</f>
        <v>99530.122274034569</v>
      </c>
      <c r="E5" s="17">
        <f>B46*B57</f>
        <v>6681.3406170126927</v>
      </c>
      <c r="F5" s="17">
        <f>B51*B62</f>
        <v>89155.988814448763</v>
      </c>
      <c r="G5" s="18"/>
      <c r="H5" s="17"/>
      <c r="I5" s="17"/>
      <c r="J5" s="17">
        <f>B50*B61+C50*C61</f>
        <v>4790.7292750665238</v>
      </c>
      <c r="K5" s="17"/>
      <c r="L5" s="17"/>
      <c r="M5" s="17"/>
      <c r="N5" s="17">
        <f>B48*B59+C48*C59</f>
        <v>28437.172040123252</v>
      </c>
      <c r="O5" s="17">
        <f>B69*B70*B71</f>
        <v>345.49666666666667</v>
      </c>
      <c r="P5" s="17">
        <f>B77*B78*B79/1000-B77*B78*B79/1000/B80</f>
        <v>991.4666666666667</v>
      </c>
    </row>
    <row r="6" spans="1:16">
      <c r="A6" s="16" t="s">
        <v>631</v>
      </c>
      <c r="B6" s="844">
        <f>kWh_PV_kleiner_dan_10kW</f>
        <v>5273.4590681557884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70589.136068155785</v>
      </c>
      <c r="C8" s="21">
        <f>C5</f>
        <v>0</v>
      </c>
      <c r="D8" s="21">
        <f>D5</f>
        <v>99530.122274034569</v>
      </c>
      <c r="E8" s="21">
        <f>E5</f>
        <v>6681.3406170126927</v>
      </c>
      <c r="F8" s="21">
        <f>F5</f>
        <v>89155.988814448763</v>
      </c>
      <c r="G8" s="21"/>
      <c r="H8" s="21"/>
      <c r="I8" s="21"/>
      <c r="J8" s="21">
        <f>J5</f>
        <v>4790.7292750665238</v>
      </c>
      <c r="K8" s="21"/>
      <c r="L8" s="21">
        <f>L5</f>
        <v>0</v>
      </c>
      <c r="M8" s="21">
        <f>M5</f>
        <v>0</v>
      </c>
      <c r="N8" s="21">
        <f>N5</f>
        <v>28437.172040123252</v>
      </c>
      <c r="O8" s="21">
        <f>O5</f>
        <v>345.49666666666667</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0.20642340014501959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14571.249480488157</v>
      </c>
      <c r="C12" s="23">
        <f ca="1">C10*C8</f>
        <v>0</v>
      </c>
      <c r="D12" s="23">
        <f>D8*D10</f>
        <v>20105.084699354986</v>
      </c>
      <c r="E12" s="23">
        <f>E10*E8</f>
        <v>1516.6643200618812</v>
      </c>
      <c r="F12" s="23">
        <f>F10*F8</f>
        <v>23804.64901345782</v>
      </c>
      <c r="G12" s="23"/>
      <c r="H12" s="23"/>
      <c r="I12" s="23"/>
      <c r="J12" s="23">
        <f>J10*J8</f>
        <v>1695.9181633735493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4030</v>
      </c>
      <c r="C18" s="166" t="s">
        <v>111</v>
      </c>
      <c r="D18" s="228"/>
      <c r="E18" s="15"/>
    </row>
    <row r="19" spans="1:7">
      <c r="A19" s="171" t="s">
        <v>72</v>
      </c>
      <c r="B19" s="37">
        <f>aantalw2001_ander</f>
        <v>2</v>
      </c>
      <c r="C19" s="166" t="s">
        <v>111</v>
      </c>
      <c r="D19" s="229"/>
      <c r="E19" s="15"/>
    </row>
    <row r="20" spans="1:7">
      <c r="A20" s="171" t="s">
        <v>73</v>
      </c>
      <c r="B20" s="37">
        <f>aantalw2001_propaan</f>
        <v>188</v>
      </c>
      <c r="C20" s="167">
        <f>IF(ISERROR(B20/SUM($B$20,$B$21,$B$22)*100),0,B20/SUM($B$20,$B$21,$B$22)*100)</f>
        <v>11.270983213429256</v>
      </c>
      <c r="D20" s="229"/>
      <c r="E20" s="15"/>
    </row>
    <row r="21" spans="1:7">
      <c r="A21" s="171" t="s">
        <v>74</v>
      </c>
      <c r="B21" s="37">
        <f>aantalw2001_elektriciteit</f>
        <v>1269</v>
      </c>
      <c r="C21" s="167">
        <f>IF(ISERROR(B21/SUM($B$20,$B$21,$B$22)*100),0,B21/SUM($B$20,$B$21,$B$22)*100)</f>
        <v>76.079136690647488</v>
      </c>
      <c r="D21" s="229"/>
      <c r="E21" s="15"/>
    </row>
    <row r="22" spans="1:7">
      <c r="A22" s="171" t="s">
        <v>75</v>
      </c>
      <c r="B22" s="37">
        <f>aantalw2001_hout</f>
        <v>211</v>
      </c>
      <c r="C22" s="167">
        <f>IF(ISERROR(B22/SUM($B$20,$B$21,$B$22)*100),0,B22/SUM($B$20,$B$21,$B$22)*100)</f>
        <v>12.64988009592326</v>
      </c>
      <c r="D22" s="229"/>
      <c r="E22" s="15"/>
    </row>
    <row r="23" spans="1:7">
      <c r="A23" s="171" t="s">
        <v>76</v>
      </c>
      <c r="B23" s="37">
        <f>aantalw2001_niet_gespec</f>
        <v>300</v>
      </c>
      <c r="C23" s="166" t="s">
        <v>111</v>
      </c>
      <c r="D23" s="228"/>
      <c r="E23" s="15"/>
    </row>
    <row r="24" spans="1:7">
      <c r="A24" s="171" t="s">
        <v>77</v>
      </c>
      <c r="B24" s="37">
        <f>aantalw2001_steenkool</f>
        <v>540</v>
      </c>
      <c r="C24" s="166" t="s">
        <v>111</v>
      </c>
      <c r="D24" s="229"/>
      <c r="E24" s="15"/>
    </row>
    <row r="25" spans="1:7">
      <c r="A25" s="171" t="s">
        <v>78</v>
      </c>
      <c r="B25" s="37">
        <f>aantalw2001_stookolie</f>
        <v>7256</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740</v>
      </c>
      <c r="B28" s="37">
        <f>aantalHuishoudens2011</f>
        <v>15851</v>
      </c>
      <c r="C28" s="36"/>
      <c r="D28" s="228"/>
    </row>
    <row r="29" spans="1:7" s="15" customFormat="1">
      <c r="A29" s="230" t="s">
        <v>741</v>
      </c>
      <c r="B29" s="37">
        <f>SUM(HH_hh_gas_aantal,HH_rest_gas_aantal)</f>
        <v>8068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8068</v>
      </c>
      <c r="C32" s="167">
        <f>IF(ISERROR(B32/SUM($B$32,$B$34,$B$35,$B$36,$B$38,$B$39)*100),0,B32/SUM($B$32,$B$34,$B$35,$B$36,$B$38,$B$39)*100)</f>
        <v>51.066523197670733</v>
      </c>
      <c r="D32" s="233"/>
      <c r="G32" s="15"/>
    </row>
    <row r="33" spans="1:7">
      <c r="A33" s="171" t="s">
        <v>72</v>
      </c>
      <c r="B33" s="34" t="s">
        <v>111</v>
      </c>
      <c r="C33" s="167"/>
      <c r="D33" s="233"/>
      <c r="G33" s="15"/>
    </row>
    <row r="34" spans="1:7">
      <c r="A34" s="171" t="s">
        <v>73</v>
      </c>
      <c r="B34" s="33">
        <f>IF((($B$28-$B$32-$B$39-$B$77-$B$38)*C20/100)&lt;0,0,($B$28-$B$32-$B$39-$B$77-$B$38)*C20/100)</f>
        <v>447.79616306954443</v>
      </c>
      <c r="C34" s="167">
        <f>IF(ISERROR(B34/SUM($B$32,$B$34,$B$35,$B$36,$B$38,$B$39)*100),0,B34/SUM($B$32,$B$34,$B$35,$B$36,$B$38,$B$39)*100)</f>
        <v>2.8343323189413532</v>
      </c>
      <c r="D34" s="233"/>
      <c r="G34" s="15"/>
    </row>
    <row r="35" spans="1:7">
      <c r="A35" s="171" t="s">
        <v>74</v>
      </c>
      <c r="B35" s="33">
        <f>IF((($B$28-$B$32-$B$39-$B$77-$B$38)*C21/100)&lt;0,0,($B$28-$B$32-$B$39-$B$77-$B$38)*C21/100)</f>
        <v>3022.6241007194253</v>
      </c>
      <c r="C35" s="167">
        <f>IF(ISERROR(B35/SUM($B$32,$B$34,$B$35,$B$36,$B$38,$B$39)*100),0,B35/SUM($B$32,$B$34,$B$35,$B$36,$B$38,$B$39)*100)</f>
        <v>19.131743152854135</v>
      </c>
      <c r="D35" s="233"/>
      <c r="G35" s="15"/>
    </row>
    <row r="36" spans="1:7">
      <c r="A36" s="171" t="s">
        <v>75</v>
      </c>
      <c r="B36" s="33">
        <f>IF((($B$28-$B$32-$B$39-$B$77-$B$38)*C22/100)&lt;0,0,($B$28-$B$32-$B$39-$B$77-$B$38)*C22/100)</f>
        <v>502.57973621103127</v>
      </c>
      <c r="C36" s="167">
        <f>IF(ISERROR(B36/SUM($B$32,$B$34,$B$35,$B$36,$B$38,$B$39)*100),0,B36/SUM($B$32,$B$34,$B$35,$B$36,$B$38,$B$39)*100)</f>
        <v>3.1810857409394973</v>
      </c>
      <c r="D36" s="233"/>
      <c r="G36" s="15"/>
    </row>
    <row r="37" spans="1:7">
      <c r="A37" s="171" t="s">
        <v>76</v>
      </c>
      <c r="B37" s="34" t="s">
        <v>111</v>
      </c>
      <c r="C37" s="167"/>
      <c r="D37" s="173"/>
      <c r="G37" s="15"/>
    </row>
    <row r="38" spans="1:7">
      <c r="A38" s="171" t="s">
        <v>77</v>
      </c>
      <c r="B38" s="33">
        <f>IF((B24-(B29-B18)*0.1)&lt;0,0,B24-(B29-B18)*0.1)</f>
        <v>136.19999999999999</v>
      </c>
      <c r="C38" s="167">
        <f>IF(ISERROR(B38/SUM($B$32,$B$34,$B$35,$B$36,$B$38,$B$39)*100),0,B38/SUM($B$32,$B$34,$B$35,$B$36,$B$38,$B$39)*100)</f>
        <v>0.86207987847332102</v>
      </c>
      <c r="D38" s="234"/>
      <c r="G38" s="15"/>
    </row>
    <row r="39" spans="1:7">
      <c r="A39" s="171" t="s">
        <v>78</v>
      </c>
      <c r="B39" s="33">
        <f>IF((B25-(B29-B18))&lt;0,0,B25-(B29-B18)*0.9)</f>
        <v>3621.7999999999997</v>
      </c>
      <c r="C39" s="167">
        <f>IF(ISERROR(B39/SUM($B$32,$B$34,$B$35,$B$36,$B$38,$B$39)*100),0,B39/SUM($B$32,$B$34,$B$35,$B$36,$B$38,$B$39)*100)</f>
        <v>22.924235711120954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8068</v>
      </c>
      <c r="C44" s="34" t="s">
        <v>111</v>
      </c>
      <c r="D44" s="174"/>
    </row>
    <row r="45" spans="1:7">
      <c r="A45" s="171" t="s">
        <v>72</v>
      </c>
      <c r="B45" s="33" t="str">
        <f t="shared" si="0"/>
        <v>-</v>
      </c>
      <c r="C45" s="34" t="s">
        <v>111</v>
      </c>
      <c r="D45" s="174"/>
    </row>
    <row r="46" spans="1:7">
      <c r="A46" s="171" t="s">
        <v>73</v>
      </c>
      <c r="B46" s="33">
        <f t="shared" si="0"/>
        <v>447.79616306954443</v>
      </c>
      <c r="C46" s="34" t="s">
        <v>111</v>
      </c>
      <c r="D46" s="174"/>
    </row>
    <row r="47" spans="1:7">
      <c r="A47" s="171" t="s">
        <v>74</v>
      </c>
      <c r="B47" s="33">
        <f t="shared" si="0"/>
        <v>3022.6241007194253</v>
      </c>
      <c r="C47" s="34" t="s">
        <v>111</v>
      </c>
      <c r="D47" s="174"/>
    </row>
    <row r="48" spans="1:7">
      <c r="A48" s="171" t="s">
        <v>75</v>
      </c>
      <c r="B48" s="33">
        <f t="shared" si="0"/>
        <v>502.57973621103127</v>
      </c>
      <c r="C48" s="33">
        <f>B48*10</f>
        <v>5025.7973621103129</v>
      </c>
      <c r="D48" s="234"/>
    </row>
    <row r="49" spans="1:6">
      <c r="A49" s="171" t="s">
        <v>76</v>
      </c>
      <c r="B49" s="33" t="str">
        <f t="shared" si="0"/>
        <v>-</v>
      </c>
      <c r="C49" s="34" t="s">
        <v>111</v>
      </c>
      <c r="D49" s="234"/>
    </row>
    <row r="50" spans="1:6">
      <c r="A50" s="171" t="s">
        <v>77</v>
      </c>
      <c r="B50" s="33">
        <f t="shared" si="0"/>
        <v>136.19999999999999</v>
      </c>
      <c r="C50" s="33">
        <f>B50*2</f>
        <v>272.39999999999998</v>
      </c>
      <c r="D50" s="234"/>
    </row>
    <row r="51" spans="1:6">
      <c r="A51" s="171" t="s">
        <v>78</v>
      </c>
      <c r="B51" s="33">
        <f t="shared" si="0"/>
        <v>3621.7999999999997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46707.059199999989</v>
      </c>
      <c r="C5" s="17">
        <f>IF(ISERROR('Eigen informatie GS &amp; warmtenet'!B58),0,'Eigen informatie GS &amp; warmtenet'!B58)</f>
        <v>0</v>
      </c>
      <c r="D5" s="30">
        <f>SUM(D6:D12)</f>
        <v>40476.795683557204</v>
      </c>
      <c r="E5" s="17">
        <f>SUM(E6:E12)</f>
        <v>527.57795435049798</v>
      </c>
      <c r="F5" s="17">
        <f>SUM(F6:F12)</f>
        <v>6914.6787545671541</v>
      </c>
      <c r="G5" s="18"/>
      <c r="H5" s="17"/>
      <c r="I5" s="17"/>
      <c r="J5" s="17">
        <f>SUM(J6:J12)</f>
        <v>0</v>
      </c>
      <c r="K5" s="17"/>
      <c r="L5" s="17"/>
      <c r="M5" s="17"/>
      <c r="N5" s="17">
        <f>SUM(N6:N12)</f>
        <v>3603.1545868260077</v>
      </c>
      <c r="O5" s="17">
        <f>B38*B39*B40</f>
        <v>3.1266666666666669</v>
      </c>
      <c r="P5" s="17">
        <f>B46*B47*B48/1000-B46*B47*B48/1000/B49</f>
        <v>38.133333333333333</v>
      </c>
      <c r="R5" s="32"/>
    </row>
    <row r="6" spans="1:18">
      <c r="A6" s="32" t="s">
        <v>54</v>
      </c>
      <c r="B6" s="37">
        <f>B26</f>
        <v>8211.3330000000005</v>
      </c>
      <c r="C6" s="33"/>
      <c r="D6" s="37">
        <f>IF(ISERROR(TER_kantoor_gas_kWh/1000),0,TER_kantoor_gas_kWh/1000)*0.902</f>
        <v>5742.8132570005864</v>
      </c>
      <c r="E6" s="33">
        <f>$C$26*'E Balans VL '!I12/100/3.6*1000000</f>
        <v>23.789436474379045</v>
      </c>
      <c r="F6" s="33">
        <f>$C$26*('E Balans VL '!L12+'E Balans VL '!N12)/100/3.6*1000000</f>
        <v>929.34198590765732</v>
      </c>
      <c r="G6" s="34"/>
      <c r="H6" s="33"/>
      <c r="I6" s="33"/>
      <c r="J6" s="33">
        <f>$C$26*('E Balans VL '!D12+'E Balans VL '!E12)/100/3.6*1000000</f>
        <v>0</v>
      </c>
      <c r="K6" s="33"/>
      <c r="L6" s="33"/>
      <c r="M6" s="33"/>
      <c r="N6" s="33">
        <f>$C$26*'E Balans VL '!Y12/100/3.6*1000000</f>
        <v>82.189392949703574</v>
      </c>
      <c r="O6" s="33"/>
      <c r="P6" s="33"/>
      <c r="R6" s="32"/>
    </row>
    <row r="7" spans="1:18">
      <c r="A7" s="32" t="s">
        <v>53</v>
      </c>
      <c r="B7" s="37">
        <f t="shared" ref="B7:B12" si="0">B27</f>
        <v>4636.067</v>
      </c>
      <c r="C7" s="33"/>
      <c r="D7" s="37">
        <f>IF(ISERROR(TER_horeca_gas_kWh/1000),0,TER_horeca_gas_kWh/1000)*0.902</f>
        <v>4385.9473073457775</v>
      </c>
      <c r="E7" s="33">
        <f>$C$27*'E Balans VL '!I9/100/3.6*1000000</f>
        <v>194.60913974480124</v>
      </c>
      <c r="F7" s="33">
        <f>$C$27*('E Balans VL '!L9+'E Balans VL '!N9)/100/3.6*1000000</f>
        <v>996.15406645794974</v>
      </c>
      <c r="G7" s="34"/>
      <c r="H7" s="33"/>
      <c r="I7" s="33"/>
      <c r="J7" s="33">
        <f>$C$27*('E Balans VL '!D9+'E Balans VL '!E9)/100/3.6*1000000</f>
        <v>0</v>
      </c>
      <c r="K7" s="33"/>
      <c r="L7" s="33"/>
      <c r="M7" s="33"/>
      <c r="N7" s="33">
        <f>$C$27*'E Balans VL '!Y9/100/3.6*1000000</f>
        <v>1.1946739220232623</v>
      </c>
      <c r="O7" s="33"/>
      <c r="P7" s="33"/>
      <c r="R7" s="32"/>
    </row>
    <row r="8" spans="1:18">
      <c r="A8" s="6" t="s">
        <v>52</v>
      </c>
      <c r="B8" s="37">
        <f t="shared" si="0"/>
        <v>21201.218000000001</v>
      </c>
      <c r="C8" s="33"/>
      <c r="D8" s="37">
        <f>IF(ISERROR(TER_handel_gas_kWh/1000),0,TER_handel_gas_kWh/1000)*0.902</f>
        <v>12645.672017898514</v>
      </c>
      <c r="E8" s="33">
        <f>$C$28*'E Balans VL '!I13/100/3.6*1000000</f>
        <v>227.71872659214645</v>
      </c>
      <c r="F8" s="33">
        <f>$C$28*('E Balans VL '!L13+'E Balans VL '!N13)/100/3.6*1000000</f>
        <v>2744.6727461490868</v>
      </c>
      <c r="G8" s="34"/>
      <c r="H8" s="33"/>
      <c r="I8" s="33"/>
      <c r="J8" s="33">
        <f>$C$28*('E Balans VL '!D13+'E Balans VL '!E13)/100/3.6*1000000</f>
        <v>0</v>
      </c>
      <c r="K8" s="33"/>
      <c r="L8" s="33"/>
      <c r="M8" s="33"/>
      <c r="N8" s="33">
        <f>$C$28*'E Balans VL '!Y13/100/3.6*1000000</f>
        <v>171.98543805283632</v>
      </c>
      <c r="O8" s="33"/>
      <c r="P8" s="33"/>
      <c r="R8" s="32"/>
    </row>
    <row r="9" spans="1:18">
      <c r="A9" s="32" t="s">
        <v>51</v>
      </c>
      <c r="B9" s="37">
        <f t="shared" si="0"/>
        <v>501.67409999999995</v>
      </c>
      <c r="C9" s="33"/>
      <c r="D9" s="37">
        <f>IF(ISERROR(TER_gezond_gas_kWh/1000),0,TER_gezond_gas_kWh/1000)*0.902</f>
        <v>864.51438077443993</v>
      </c>
      <c r="E9" s="33">
        <f>$C$29*'E Balans VL '!I10/100/3.6*1000000</f>
        <v>0.39936503101149617</v>
      </c>
      <c r="F9" s="33">
        <f>$C$29*('E Balans VL '!L10+'E Balans VL '!N10)/100/3.6*1000000</f>
        <v>60.985736698741356</v>
      </c>
      <c r="G9" s="34"/>
      <c r="H9" s="33"/>
      <c r="I9" s="33"/>
      <c r="J9" s="33">
        <f>$C$29*('E Balans VL '!D10+'E Balans VL '!E10)/100/3.6*1000000</f>
        <v>0</v>
      </c>
      <c r="K9" s="33"/>
      <c r="L9" s="33"/>
      <c r="M9" s="33"/>
      <c r="N9" s="33">
        <f>$C$29*'E Balans VL '!Y10/100/3.6*1000000</f>
        <v>4.0523904699798727</v>
      </c>
      <c r="O9" s="33"/>
      <c r="P9" s="33"/>
      <c r="R9" s="32"/>
    </row>
    <row r="10" spans="1:18">
      <c r="A10" s="32" t="s">
        <v>50</v>
      </c>
      <c r="B10" s="37">
        <f t="shared" si="0"/>
        <v>3844.6109999999999</v>
      </c>
      <c r="C10" s="33"/>
      <c r="D10" s="37">
        <f>IF(ISERROR(TER_ander_gas_kWh/1000),0,TER_ander_gas_kWh/1000)*0.902</f>
        <v>2742.536740464996</v>
      </c>
      <c r="E10" s="33">
        <f>$C$30*'E Balans VL '!I14/100/3.6*1000000</f>
        <v>13.175683866972225</v>
      </c>
      <c r="F10" s="33">
        <f>$C$30*('E Balans VL '!L14+'E Balans VL '!N14)/100/3.6*1000000</f>
        <v>858.72987081190547</v>
      </c>
      <c r="G10" s="34"/>
      <c r="H10" s="33"/>
      <c r="I10" s="33"/>
      <c r="J10" s="33">
        <f>$C$30*('E Balans VL '!D14+'E Balans VL '!E14)/100/3.6*1000000</f>
        <v>0</v>
      </c>
      <c r="K10" s="33"/>
      <c r="L10" s="33"/>
      <c r="M10" s="33"/>
      <c r="N10" s="33">
        <f>$C$30*'E Balans VL '!Y14/100/3.6*1000000</f>
        <v>2708.1649910993465</v>
      </c>
      <c r="O10" s="33"/>
      <c r="P10" s="33"/>
      <c r="R10" s="32"/>
    </row>
    <row r="11" spans="1:18">
      <c r="A11" s="32" t="s">
        <v>55</v>
      </c>
      <c r="B11" s="37">
        <f t="shared" si="0"/>
        <v>870.17409999999995</v>
      </c>
      <c r="C11" s="33"/>
      <c r="D11" s="37">
        <f>IF(ISERROR(TER_onderwijs_gas_kWh/1000),0,TER_onderwijs_gas_kWh/1000)*0.902</f>
        <v>5047.3461825201121</v>
      </c>
      <c r="E11" s="33">
        <f>$C$31*'E Balans VL '!I11/100/3.6*1000000</f>
        <v>0.60152455607685451</v>
      </c>
      <c r="F11" s="33">
        <f>$C$31*('E Balans VL '!L11+'E Balans VL '!N11)/100/3.6*1000000</f>
        <v>227.78630253746994</v>
      </c>
      <c r="G11" s="34"/>
      <c r="H11" s="33"/>
      <c r="I11" s="33"/>
      <c r="J11" s="33">
        <f>$C$31*('E Balans VL '!D11+'E Balans VL '!E11)/100/3.6*1000000</f>
        <v>0</v>
      </c>
      <c r="K11" s="33"/>
      <c r="L11" s="33"/>
      <c r="M11" s="33"/>
      <c r="N11" s="33">
        <f>$C$31*'E Balans VL '!Y11/100/3.6*1000000</f>
        <v>0.8661842009017946</v>
      </c>
      <c r="O11" s="33"/>
      <c r="P11" s="33"/>
      <c r="R11" s="32"/>
    </row>
    <row r="12" spans="1:18">
      <c r="A12" s="32" t="s">
        <v>260</v>
      </c>
      <c r="B12" s="37">
        <f t="shared" si="0"/>
        <v>7441.982</v>
      </c>
      <c r="C12" s="33"/>
      <c r="D12" s="37">
        <f>IF(ISERROR(TER_rest_gas_kWh/1000),0,TER_rest_gas_kWh/1000)*0.902</f>
        <v>9047.9657975527753</v>
      </c>
      <c r="E12" s="33">
        <f>$C$32*'E Balans VL '!I8/100/3.6*1000000</f>
        <v>67.284078085110707</v>
      </c>
      <c r="F12" s="33">
        <f>$C$32*('E Balans VL '!L8+'E Balans VL '!N8)/100/3.6*1000000</f>
        <v>1097.0080460043437</v>
      </c>
      <c r="G12" s="34"/>
      <c r="H12" s="33"/>
      <c r="I12" s="33"/>
      <c r="J12" s="33">
        <f>$C$32*('E Balans VL '!D8+'E Balans VL '!E8)/100/3.6*1000000</f>
        <v>0</v>
      </c>
      <c r="K12" s="33"/>
      <c r="L12" s="33"/>
      <c r="M12" s="33"/>
      <c r="N12" s="33">
        <f>$C$32*'E Balans VL '!Y8/100/3.6*1000000</f>
        <v>634.70151613121641</v>
      </c>
      <c r="O12" s="33"/>
      <c r="P12" s="33"/>
      <c r="R12" s="32"/>
    </row>
    <row r="13" spans="1:18">
      <c r="A13" s="16" t="s">
        <v>494</v>
      </c>
      <c r="B13" s="247">
        <f ca="1">'lokale energieproductie'!N90+'lokale energieproductie'!N59</f>
        <v>2187</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-6248.5714285714294</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48894.059199999989</v>
      </c>
      <c r="C16" s="21">
        <f t="shared" ca="1" si="1"/>
        <v>0</v>
      </c>
      <c r="D16" s="21">
        <f t="shared" ca="1" si="1"/>
        <v>40476.795683557204</v>
      </c>
      <c r="E16" s="21">
        <f t="shared" si="1"/>
        <v>527.57795435049798</v>
      </c>
      <c r="F16" s="21">
        <f t="shared" ca="1" si="1"/>
        <v>6914.6787545671541</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0.20642340014501959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10092.877946955874</v>
      </c>
      <c r="C20" s="23">
        <f t="shared" ref="C20:P20" ca="1" si="2">C16*C18</f>
        <v>0</v>
      </c>
      <c r="D20" s="23">
        <f t="shared" ca="1" si="2"/>
        <v>8176.3127280785557</v>
      </c>
      <c r="E20" s="23">
        <f t="shared" si="2"/>
        <v>119.76019563756304</v>
      </c>
      <c r="F20" s="23">
        <f t="shared" ca="1" si="2"/>
        <v>1846.2192274694303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8211.3330000000005</v>
      </c>
      <c r="C26" s="39">
        <f>IF(ISERROR(B26*3.6/1000000/'E Balans VL '!Z12*100),0,B26*3.6/1000000/'E Balans VL '!Z12*100)</f>
        <v>0.18037142259657604</v>
      </c>
      <c r="D26" s="237" t="s">
        <v>692</v>
      </c>
      <c r="F26" s="6"/>
    </row>
    <row r="27" spans="1:18">
      <c r="A27" s="231" t="s">
        <v>53</v>
      </c>
      <c r="B27" s="33">
        <f>IF(ISERROR(TER_horeca_ele_kWh/1000),0,TER_horeca_ele_kWh/1000)</f>
        <v>4636.067</v>
      </c>
      <c r="C27" s="39">
        <f>IF(ISERROR(B27*3.6/1000000/'E Balans VL '!Z9*100),0,B27*3.6/1000000/'E Balans VL '!Z9*100)</f>
        <v>0.3725541963116798</v>
      </c>
      <c r="D27" s="237" t="s">
        <v>692</v>
      </c>
      <c r="F27" s="6"/>
    </row>
    <row r="28" spans="1:18">
      <c r="A28" s="171" t="s">
        <v>52</v>
      </c>
      <c r="B28" s="33">
        <f>IF(ISERROR(TER_handel_ele_kWh/1000),0,TER_handel_ele_kWh/1000)</f>
        <v>21201.218000000001</v>
      </c>
      <c r="C28" s="39">
        <f>IF(ISERROR(B28*3.6/1000000/'E Balans VL '!Z13*100),0,B28*3.6/1000000/'E Balans VL '!Z13*100)</f>
        <v>0.62690520477811484</v>
      </c>
      <c r="D28" s="237" t="s">
        <v>692</v>
      </c>
      <c r="F28" s="6"/>
    </row>
    <row r="29" spans="1:18">
      <c r="A29" s="231" t="s">
        <v>51</v>
      </c>
      <c r="B29" s="33">
        <f>IF(ISERROR(TER_gezond_ele_kWh/1000),0,TER_gezond_ele_kWh/1000)</f>
        <v>501.67409999999995</v>
      </c>
      <c r="C29" s="39">
        <f>IF(ISERROR(B29*3.6/1000000/'E Balans VL '!Z10*100),0,B29*3.6/1000000/'E Balans VL '!Z10*100)</f>
        <v>5.6525718986467056E-2</v>
      </c>
      <c r="D29" s="237" t="s">
        <v>692</v>
      </c>
      <c r="F29" s="6"/>
    </row>
    <row r="30" spans="1:18">
      <c r="A30" s="231" t="s">
        <v>50</v>
      </c>
      <c r="B30" s="33">
        <f>IF(ISERROR(TER_ander_ele_kWh/1000),0,TER_ander_ele_kWh/1000)</f>
        <v>3844.6109999999999</v>
      </c>
      <c r="C30" s="39">
        <f>IF(ISERROR(B30*3.6/1000000/'E Balans VL '!Z14*100),0,B30*3.6/1000000/'E Balans VL '!Z14*100)</f>
        <v>0.29076135786435608</v>
      </c>
      <c r="D30" s="237" t="s">
        <v>692</v>
      </c>
      <c r="F30" s="6"/>
    </row>
    <row r="31" spans="1:18">
      <c r="A31" s="231" t="s">
        <v>55</v>
      </c>
      <c r="B31" s="33">
        <f>IF(ISERROR(TER_onderwijs_ele_kWh/1000),0,TER_onderwijs_ele_kWh/1000)</f>
        <v>870.17409999999995</v>
      </c>
      <c r="C31" s="39">
        <f>IF(ISERROR(B31*3.6/1000000/'E Balans VL '!Z11*100),0,B31*3.6/1000000/'E Balans VL '!Z11*100)</f>
        <v>0.18062794293547269</v>
      </c>
      <c r="D31" s="237" t="s">
        <v>692</v>
      </c>
    </row>
    <row r="32" spans="1:18">
      <c r="A32" s="231" t="s">
        <v>260</v>
      </c>
      <c r="B32" s="33">
        <f>IF(ISERROR(TER_rest_ele_kWh/1000),0,TER_rest_ele_kWh/1000)</f>
        <v>7441.982</v>
      </c>
      <c r="C32" s="39">
        <f>IF(ISERROR(B32*3.6/1000000/'E Balans VL '!Z8*100),0,B32*3.6/1000000/'E Balans VL '!Z8*100)</f>
        <v>6.2694320380247789E-2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48487.308199999999</v>
      </c>
      <c r="C5" s="17">
        <f>IF(ISERROR('Eigen informatie GS &amp; warmtenet'!B59),0,'Eigen informatie GS &amp; warmtenet'!B59)</f>
        <v>0</v>
      </c>
      <c r="D5" s="30">
        <f>SUM(D6:D15)</f>
        <v>50947.502040572392</v>
      </c>
      <c r="E5" s="17">
        <f>SUM(E6:E15)</f>
        <v>2327.7749981210227</v>
      </c>
      <c r="F5" s="17">
        <f>SUM(F6:F15)</f>
        <v>37456.152532902684</v>
      </c>
      <c r="G5" s="18"/>
      <c r="H5" s="17"/>
      <c r="I5" s="17"/>
      <c r="J5" s="17">
        <f>SUM(J6:J15)</f>
        <v>473.69467849118979</v>
      </c>
      <c r="K5" s="17"/>
      <c r="L5" s="17"/>
      <c r="M5" s="17"/>
      <c r="N5" s="17">
        <f>SUM(N6:N15)</f>
        <v>14047.740359325067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2828.009</v>
      </c>
      <c r="C8" s="33"/>
      <c r="D8" s="37">
        <f>IF( ISERROR(IND_metaal_Gas_kWH/1000),0,IND_metaal_Gas_kWH/1000)*0.902</f>
        <v>363.3768789090268</v>
      </c>
      <c r="E8" s="33">
        <f>C30*'E Balans VL '!I18/100/3.6*1000000</f>
        <v>70.775167450546959</v>
      </c>
      <c r="F8" s="33">
        <f>C30*'E Balans VL '!L18/100/3.6*1000000+C30*'E Balans VL '!N18/100/3.6*1000000</f>
        <v>886.31208784021555</v>
      </c>
      <c r="G8" s="34"/>
      <c r="H8" s="33"/>
      <c r="I8" s="33"/>
      <c r="J8" s="40">
        <f>C30*'E Balans VL '!D18/100/3.6*1000000+C30*'E Balans VL '!E18/100/3.6*1000000</f>
        <v>0</v>
      </c>
      <c r="K8" s="33"/>
      <c r="L8" s="33"/>
      <c r="M8" s="33"/>
      <c r="N8" s="33">
        <f>C30*'E Balans VL '!Y18/100/3.6*1000000</f>
        <v>71.046925403348951</v>
      </c>
      <c r="O8" s="33"/>
      <c r="P8" s="33"/>
      <c r="R8" s="32"/>
    </row>
    <row r="9" spans="1:18">
      <c r="A9" s="6" t="s">
        <v>33</v>
      </c>
      <c r="B9" s="37">
        <f t="shared" si="0"/>
        <v>2588.875</v>
      </c>
      <c r="C9" s="33"/>
      <c r="D9" s="37">
        <f>IF( ISERROR(IND_andere_gas_kWh/1000),0,IND_andere_gas_kWh/1000)*0.902</f>
        <v>1364.4041527272313</v>
      </c>
      <c r="E9" s="33">
        <f>C31*'E Balans VL '!I19/100/3.6*1000000</f>
        <v>711.83444214794861</v>
      </c>
      <c r="F9" s="33">
        <f>C31*'E Balans VL '!L19/100/3.6*1000000+C31*'E Balans VL '!N19/100/3.6*1000000</f>
        <v>2040.4839965947363</v>
      </c>
      <c r="G9" s="34"/>
      <c r="H9" s="33"/>
      <c r="I9" s="33"/>
      <c r="J9" s="40">
        <f>C31*'E Balans VL '!D19/100/3.6*1000000+C31*'E Balans VL '!E19/100/3.6*1000000</f>
        <v>0</v>
      </c>
      <c r="K9" s="33"/>
      <c r="L9" s="33"/>
      <c r="M9" s="33"/>
      <c r="N9" s="33">
        <f>C31*'E Balans VL '!Y19/100/3.6*1000000</f>
        <v>838.0871723649019</v>
      </c>
      <c r="O9" s="33"/>
      <c r="P9" s="33"/>
      <c r="R9" s="32"/>
    </row>
    <row r="10" spans="1:18">
      <c r="A10" s="6" t="s">
        <v>41</v>
      </c>
      <c r="B10" s="37">
        <f t="shared" si="0"/>
        <v>14970.043</v>
      </c>
      <c r="C10" s="33"/>
      <c r="D10" s="37">
        <f>IF( ISERROR(IND_voed_gas_kWh/1000),0,IND_voed_gas_kWh/1000)*0.902</f>
        <v>24529.265721031126</v>
      </c>
      <c r="E10" s="33">
        <f>C32*'E Balans VL '!I20/100/3.6*1000000</f>
        <v>152.61134134125345</v>
      </c>
      <c r="F10" s="33">
        <f>C32*'E Balans VL '!L20/100/3.6*1000000+C32*'E Balans VL '!N20/100/3.6*1000000</f>
        <v>28278.317598419089</v>
      </c>
      <c r="G10" s="34"/>
      <c r="H10" s="33"/>
      <c r="I10" s="33"/>
      <c r="J10" s="40">
        <f>C32*'E Balans VL '!D20/100/3.6*1000000+C32*'E Balans VL '!E20/100/3.6*1000000</f>
        <v>358.28211119245793</v>
      </c>
      <c r="K10" s="33"/>
      <c r="L10" s="33"/>
      <c r="M10" s="33"/>
      <c r="N10" s="33">
        <f>C32*'E Balans VL '!Y20/100/3.6*1000000</f>
        <v>7890.9369985091844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501.91520000000003</v>
      </c>
      <c r="C12" s="33"/>
      <c r="D12" s="37">
        <f>IF( ISERROR(IND_min_gas_kWh/1000),0,IND_min_gas_kWh/1000)*0.902</f>
        <v>0</v>
      </c>
      <c r="E12" s="33">
        <f>C34*'E Balans VL '!I22/100/3.6*1000000</f>
        <v>1.520074097987228</v>
      </c>
      <c r="F12" s="33">
        <f>C34*'E Balans VL '!L22/100/3.6*1000000+C34*'E Balans VL '!N22/100/3.6*1000000</f>
        <v>15.685281514619092</v>
      </c>
      <c r="G12" s="34"/>
      <c r="H12" s="33"/>
      <c r="I12" s="33"/>
      <c r="J12" s="40">
        <f>C34*'E Balans VL '!D22/100/3.6*1000000+C34*'E Balans VL '!E22/100/3.6*1000000</f>
        <v>0.74422882216693564</v>
      </c>
      <c r="K12" s="33"/>
      <c r="L12" s="33"/>
      <c r="M12" s="33"/>
      <c r="N12" s="33">
        <f>C34*'E Balans VL '!Y22/100/3.6*1000000</f>
        <v>0</v>
      </c>
      <c r="O12" s="33"/>
      <c r="P12" s="33"/>
      <c r="R12" s="32"/>
    </row>
    <row r="13" spans="1:18">
      <c r="A13" s="6" t="s">
        <v>39</v>
      </c>
      <c r="B13" s="37">
        <f t="shared" si="0"/>
        <v>266.09199999999998</v>
      </c>
      <c r="C13" s="33"/>
      <c r="D13" s="37">
        <f>IF( ISERROR(IND_papier_gas_kWh/1000),0,IND_papier_gas_kWh/1000)*0.902</f>
        <v>0</v>
      </c>
      <c r="E13" s="33">
        <f>C35*'E Balans VL '!I23/100/3.6*1000000</f>
        <v>0.5510944927775121</v>
      </c>
      <c r="F13" s="33">
        <f>C35*'E Balans VL '!L23/100/3.6*1000000+C35*'E Balans VL '!N23/100/3.6*1000000</f>
        <v>5.2771748159077196</v>
      </c>
      <c r="G13" s="34"/>
      <c r="H13" s="33"/>
      <c r="I13" s="33"/>
      <c r="J13" s="40">
        <f>C35*'E Balans VL '!D23/100/3.6*1000000+C35*'E Balans VL '!E23/100/3.6*1000000</f>
        <v>0</v>
      </c>
      <c r="K13" s="33"/>
      <c r="L13" s="33"/>
      <c r="M13" s="33"/>
      <c r="N13" s="33">
        <f>C35*'E Balans VL '!Y23/100/3.6*1000000</f>
        <v>112.35677989947547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27332.374</v>
      </c>
      <c r="C15" s="33"/>
      <c r="D15" s="37">
        <f>IF( ISERROR(IND_rest_gas_kWh/1000),0,IND_rest_gas_kWh/1000)*0.902</f>
        <v>24690.455287905002</v>
      </c>
      <c r="E15" s="33">
        <f>C37*'E Balans VL '!I15/100/3.6*1000000</f>
        <v>1390.4828785905086</v>
      </c>
      <c r="F15" s="33">
        <f>C37*'E Balans VL '!L15/100/3.6*1000000+C37*'E Balans VL '!N15/100/3.6*1000000</f>
        <v>6230.0763937181182</v>
      </c>
      <c r="G15" s="34"/>
      <c r="H15" s="33"/>
      <c r="I15" s="33"/>
      <c r="J15" s="40">
        <f>C37*'E Balans VL '!D15/100/3.6*1000000+C37*'E Balans VL '!E15/100/3.6*1000000</f>
        <v>114.66833847656495</v>
      </c>
      <c r="K15" s="33"/>
      <c r="L15" s="33"/>
      <c r="M15" s="33"/>
      <c r="N15" s="33">
        <f>C37*'E Balans VL '!Y15/100/3.6*1000000</f>
        <v>5135.3124831481573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48487.308199999999</v>
      </c>
      <c r="C18" s="21">
        <f>C5+C16</f>
        <v>0</v>
      </c>
      <c r="D18" s="21">
        <f>MAX((D5+D16),0)</f>
        <v>50947.502040572392</v>
      </c>
      <c r="E18" s="21">
        <f>MAX((E5+E16),0)</f>
        <v>2327.7749981210227</v>
      </c>
      <c r="F18" s="21">
        <f>MAX((F5+F16),0)</f>
        <v>37456.152532902684</v>
      </c>
      <c r="G18" s="21"/>
      <c r="H18" s="21"/>
      <c r="I18" s="21"/>
      <c r="J18" s="21">
        <f>MAX((J5+J16),0)</f>
        <v>473.69467849118979</v>
      </c>
      <c r="K18" s="21"/>
      <c r="L18" s="21">
        <f>MAX((L5+L16),0)</f>
        <v>0</v>
      </c>
      <c r="M18" s="21"/>
      <c r="N18" s="21">
        <f>MAX((N5+N16),0)</f>
        <v>14047.740359325067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0.20642340014501959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10008.91502252349</v>
      </c>
      <c r="C22" s="23">
        <f ca="1">C18*C20</f>
        <v>0</v>
      </c>
      <c r="D22" s="23">
        <f>D18*D20</f>
        <v>10291.395412195623</v>
      </c>
      <c r="E22" s="23">
        <f>E18*E20</f>
        <v>528.40492457347216</v>
      </c>
      <c r="F22" s="23">
        <f>F18*F20</f>
        <v>10000.792726285017</v>
      </c>
      <c r="G22" s="23"/>
      <c r="H22" s="23"/>
      <c r="I22" s="23"/>
      <c r="J22" s="23">
        <f>J18*J20</f>
        <v>167.68791618588116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2828.009</v>
      </c>
      <c r="C30" s="39">
        <f>IF(ISERROR(B30*3.6/1000000/'E Balans VL '!Z18*100),0,B30*3.6/1000000/'E Balans VL '!Z18*100)</f>
        <v>0.39582701555892791</v>
      </c>
      <c r="D30" s="237" t="s">
        <v>692</v>
      </c>
    </row>
    <row r="31" spans="1:18">
      <c r="A31" s="6" t="s">
        <v>33</v>
      </c>
      <c r="B31" s="37">
        <f>IF( ISERROR(IND_ander_ele_kWh/1000),0,IND_ander_ele_kWh/1000)</f>
        <v>2588.875</v>
      </c>
      <c r="C31" s="39">
        <f>IF(ISERROR(B31*3.6/1000000/'E Balans VL '!Z19*100),0,B31*3.6/1000000/'E Balans VL '!Z19*100)</f>
        <v>0.1133146387748073</v>
      </c>
      <c r="D31" s="237" t="s">
        <v>692</v>
      </c>
    </row>
    <row r="32" spans="1:18">
      <c r="A32" s="171" t="s">
        <v>41</v>
      </c>
      <c r="B32" s="37">
        <f>IF( ISERROR(IND_voed_ele_kWh/1000),0,IND_voed_ele_kWh/1000)</f>
        <v>14970.043</v>
      </c>
      <c r="C32" s="39">
        <f>IF(ISERROR(B32*3.6/1000000/'E Balans VL '!Z20*100),0,B32*3.6/1000000/'E Balans VL '!Z20*100)</f>
        <v>3.7060855161931756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501.91520000000003</v>
      </c>
      <c r="C34" s="39">
        <f>IF(ISERROR(B34*3.6/1000000/'E Balans VL '!Z22*100),0,B34*3.6/1000000/'E Balans VL '!Z22*100)</f>
        <v>1.4242305672036736E-2</v>
      </c>
      <c r="D34" s="237" t="s">
        <v>692</v>
      </c>
    </row>
    <row r="35" spans="1:5">
      <c r="A35" s="171" t="s">
        <v>39</v>
      </c>
      <c r="B35" s="37">
        <f>IF( ISERROR(IND_papier_ele_kWh/1000),0,IND_papier_ele_kWh/1000)</f>
        <v>266.09199999999998</v>
      </c>
      <c r="C35" s="39">
        <f>IF(ISERROR(B35*3.6/1000000/'E Balans VL '!Z22*100),0,B35*3.6/1000000/'E Balans VL '!Z22*100)</f>
        <v>7.5506053629848212E-3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27332.374</v>
      </c>
      <c r="C37" s="39">
        <f>IF(ISERROR(B37*3.6/1000000/'E Balans VL '!Z15*100),0,B37*3.6/1000000/'E Balans VL '!Z15*100)</f>
        <v>0.20266487370955139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1220.7645</v>
      </c>
      <c r="C5" s="17">
        <f>'Eigen informatie GS &amp; warmtenet'!B60</f>
        <v>0</v>
      </c>
      <c r="D5" s="30">
        <f>IF(ISERROR(SUM(LB_lb_gas_kWh,LB_rest_gas_kWh,onbekend_gas_kWh)/1000),0,SUM(LB_lb_gas_kWh,LB_rest_gas_kWh,onbekend_gas_kWh)/1000)*0.902</f>
        <v>4489.5136417382491</v>
      </c>
      <c r="E5" s="17">
        <f>B17*'E Balans VL '!I25/3.6*1000000/100</f>
        <v>11.307232102172572</v>
      </c>
      <c r="F5" s="17">
        <f>B17*('E Balans VL '!L25/3.6*1000000+'E Balans VL '!N25/3.6*1000000)/100</f>
        <v>3097.3120918985969</v>
      </c>
      <c r="G5" s="18"/>
      <c r="H5" s="17"/>
      <c r="I5" s="17"/>
      <c r="J5" s="17">
        <f>('E Balans VL '!D25+'E Balans VL '!E25)/3.6*1000000*landbouw!B17/100</f>
        <v>187.15682162158228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1220.7645</v>
      </c>
      <c r="C8" s="21">
        <f>C5+C6</f>
        <v>0</v>
      </c>
      <c r="D8" s="21">
        <f>MAX((D5+D6),0)</f>
        <v>4489.5136417382491</v>
      </c>
      <c r="E8" s="21">
        <f>MAX((E5+E6),0)</f>
        <v>11.307232102172572</v>
      </c>
      <c r="F8" s="21">
        <f>MAX((F5+F6),0)</f>
        <v>3097.3120918985969</v>
      </c>
      <c r="G8" s="21"/>
      <c r="H8" s="21"/>
      <c r="I8" s="21"/>
      <c r="J8" s="21">
        <f>MAX((J5+J6),0)</f>
        <v>187.15682162158228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0.20642340014501959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251.99435886633475</v>
      </c>
      <c r="C12" s="23">
        <f ca="1">C8*C10</f>
        <v>0</v>
      </c>
      <c r="D12" s="23">
        <f>D8*D10</f>
        <v>906.88175563112634</v>
      </c>
      <c r="E12" s="23">
        <f>E8*E10</f>
        <v>2.5667416871931739</v>
      </c>
      <c r="F12" s="23">
        <f>F8*F10</f>
        <v>826.98232853692548</v>
      </c>
      <c r="G12" s="23"/>
      <c r="H12" s="23"/>
      <c r="I12" s="23"/>
      <c r="J12" s="23">
        <f>J8*J10</f>
        <v>66.25351485404012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0.17356682721845687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561.68391542769086</v>
      </c>
      <c r="C26" s="247">
        <f>B26*'GWP N2O_CH4'!B5</f>
        <v>11795.362223981509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96.554877880949235</v>
      </c>
      <c r="C27" s="247">
        <f>B27*'GWP N2O_CH4'!B5</f>
        <v>2027.652435499934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7.5855048843116819</v>
      </c>
      <c r="C28" s="247">
        <f>B28*'GWP N2O_CH4'!B4</f>
        <v>2351.5065141366213</v>
      </c>
      <c r="D28" s="50"/>
    </row>
    <row r="29" spans="1:4">
      <c r="A29" s="41" t="s">
        <v>277</v>
      </c>
      <c r="B29" s="247">
        <f>B34*'ha_N2O bodem landbouw'!B4</f>
        <v>25.790690727008219</v>
      </c>
      <c r="C29" s="247">
        <f>B29*'GWP N2O_CH4'!B4</f>
        <v>7995.1141253725482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5.7843975674648426E-3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9.4965890491805291E-5</v>
      </c>
      <c r="C5" s="464" t="s">
        <v>211</v>
      </c>
      <c r="D5" s="449">
        <f>SUM(D6:D11)</f>
        <v>2.6532500597263147E-4</v>
      </c>
      <c r="E5" s="449">
        <f>SUM(E6:E11)</f>
        <v>1.6748929278410732E-3</v>
      </c>
      <c r="F5" s="462" t="s">
        <v>211</v>
      </c>
      <c r="G5" s="449">
        <f>SUM(G6:G11)</f>
        <v>0.55379049454610896</v>
      </c>
      <c r="H5" s="449">
        <f>SUM(H6:H11)</f>
        <v>9.9915603774277523E-2</v>
      </c>
      <c r="I5" s="464" t="s">
        <v>211</v>
      </c>
      <c r="J5" s="464" t="s">
        <v>211</v>
      </c>
      <c r="K5" s="464" t="s">
        <v>211</v>
      </c>
      <c r="L5" s="464" t="s">
        <v>211</v>
      </c>
      <c r="M5" s="449">
        <f>SUM(M6:M11)</f>
        <v>3.5110024967882278E-2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6.9287750716973763E-5</v>
      </c>
      <c r="C6" s="450"/>
      <c r="D6" s="963">
        <f>vkm_2011_GW_PW*SUMIFS(TableVerdeelsleutelVkm[CNG],TableVerdeelsleutelVkm[Voertuigtype],"Lichte voertuigen")*SUMIFS(TableECFTransport[EnergieConsumptieFactor (PJ per km)],TableECFTransport[Index],CONCATENATE($A6,"_CNG_CNG"))</f>
        <v>1.6027019567371571E-4</v>
      </c>
      <c r="E6" s="963">
        <f>vkm_2011_GW_PW*SUMIFS(TableVerdeelsleutelVkm[LPG],TableVerdeelsleutelVkm[Voertuigtype],"Lichte voertuigen")*SUMIFS(TableECFTransport[EnergieConsumptieFactor (PJ per km)],TableECFTransport[Index],CONCATENATE($A6,"_LPG_LPG"))</f>
        <v>1.0435827297670688E-3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0.21679659140239854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6.1110478880917453E-2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1.4421936296404076E-2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0.18582215936785068</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6.3547803816190143E-5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1.0750865207229069E-2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2.5678139774831521E-5</v>
      </c>
      <c r="C8" s="450"/>
      <c r="D8" s="452">
        <f>vkm_2011_NGW_PW*SUMIFS(TableVerdeelsleutelVkm[CNG],TableVerdeelsleutelVkm[Voertuigtype],"Lichte voertuigen")*SUMIFS(TableECFTransport[EnergieConsumptieFactor (PJ per km)],TableECFTransport[Index],CONCATENATE($A8,"_CNG_CNG"))</f>
        <v>1.0505481029891576E-4</v>
      </c>
      <c r="E8" s="452">
        <f>vkm_2011_NGW_PW*SUMIFS(TableVerdeelsleutelVkm[LPG],TableVerdeelsleutelVkm[Voertuigtype],"Lichte voertuigen")*SUMIFS(TableECFTransport[EnergieConsumptieFactor (PJ per km)],TableECFTransport[Index],CONCATENATE($A8,"_LPG_LPG"))</f>
        <v>6.3131019807400441E-4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0.12259951303055601</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3.8732331448503618E-2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8.2841741399006987E-3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2.8572230745303656E-2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9.2456410402724361E-6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1.6530493243484367E-3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26.379414025501468</v>
      </c>
      <c r="C14" s="21"/>
      <c r="D14" s="21">
        <f t="shared" ref="D14:M14" si="0">((D5)*10^9/3600)+D12</f>
        <v>73.701390547953181</v>
      </c>
      <c r="E14" s="21">
        <f t="shared" si="0"/>
        <v>465.24803551140923</v>
      </c>
      <c r="F14" s="21"/>
      <c r="G14" s="21">
        <f t="shared" si="0"/>
        <v>153830.69292947472</v>
      </c>
      <c r="H14" s="21">
        <f t="shared" si="0"/>
        <v>27754.334381743756</v>
      </c>
      <c r="I14" s="21"/>
      <c r="J14" s="21"/>
      <c r="K14" s="21"/>
      <c r="L14" s="21"/>
      <c r="M14" s="21">
        <f t="shared" si="0"/>
        <v>9752.7847133006326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0.20642340014501959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5.4453283369772318</v>
      </c>
      <c r="C18" s="23"/>
      <c r="D18" s="23">
        <f t="shared" ref="D18:M18" si="1">D14*D16</f>
        <v>14.887680890686543</v>
      </c>
      <c r="E18" s="23">
        <f t="shared" si="1"/>
        <v>105.6113040610899</v>
      </c>
      <c r="F18" s="23"/>
      <c r="G18" s="23">
        <f t="shared" si="1"/>
        <v>41072.79501216975</v>
      </c>
      <c r="H18" s="23">
        <f t="shared" si="1"/>
        <v>6910.8292610541948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1.0165845970761842E-2</v>
      </c>
      <c r="H50" s="321">
        <f t="shared" si="2"/>
        <v>0</v>
      </c>
      <c r="I50" s="321">
        <f t="shared" si="2"/>
        <v>0</v>
      </c>
      <c r="J50" s="321">
        <f t="shared" si="2"/>
        <v>0</v>
      </c>
      <c r="K50" s="321">
        <f t="shared" si="2"/>
        <v>0</v>
      </c>
      <c r="L50" s="321">
        <f t="shared" si="2"/>
        <v>0</v>
      </c>
      <c r="M50" s="321">
        <f t="shared" si="2"/>
        <v>5.7972856067066566E-4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1.0165845970761842E-2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5.7972856067066566E-4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2823.8461029894011</v>
      </c>
      <c r="H54" s="21">
        <f t="shared" si="3"/>
        <v>0</v>
      </c>
      <c r="I54" s="21">
        <f t="shared" si="3"/>
        <v>0</v>
      </c>
      <c r="J54" s="21">
        <f t="shared" si="3"/>
        <v>0</v>
      </c>
      <c r="K54" s="21">
        <f t="shared" si="3"/>
        <v>0</v>
      </c>
      <c r="L54" s="21">
        <f t="shared" si="3"/>
        <v>0</v>
      </c>
      <c r="M54" s="21">
        <f t="shared" si="3"/>
        <v>161.03571129740715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0.20642340014501959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753.96690949817014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9143.1719817838966</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2187</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6248.5714285714294</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11330.171981783897</v>
      </c>
      <c r="C9" s="595">
        <f t="shared" ref="C9:L9" si="0">SUM(C7:C8)</f>
        <v>0</v>
      </c>
      <c r="D9" s="595">
        <f t="shared" si="0"/>
        <v>0</v>
      </c>
      <c r="E9" s="595">
        <f t="shared" si="0"/>
        <v>0</v>
      </c>
      <c r="F9" s="595">
        <f t="shared" si="0"/>
        <v>0</v>
      </c>
      <c r="G9" s="595">
        <f t="shared" si="0"/>
        <v>0</v>
      </c>
      <c r="H9" s="595">
        <f t="shared" si="0"/>
        <v>0</v>
      </c>
      <c r="I9" s="595">
        <f t="shared" si="0"/>
        <v>0</v>
      </c>
      <c r="J9" s="595">
        <f t="shared" si="0"/>
        <v>6248.5714285714294</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41048</v>
      </c>
      <c r="C63" s="852">
        <v>9400</v>
      </c>
      <c r="D63" s="675" t="s">
        <v>834</v>
      </c>
      <c r="E63" s="675" t="s">
        <v>835</v>
      </c>
      <c r="F63" s="675" t="s">
        <v>836</v>
      </c>
      <c r="G63" s="675" t="s">
        <v>837</v>
      </c>
      <c r="H63" s="675" t="s">
        <v>838</v>
      </c>
      <c r="I63" s="675" t="s">
        <v>839</v>
      </c>
      <c r="J63" s="851">
        <v>38826</v>
      </c>
      <c r="K63" s="851">
        <v>38930</v>
      </c>
      <c r="L63" s="675" t="s">
        <v>840</v>
      </c>
      <c r="M63" s="675">
        <v>486</v>
      </c>
      <c r="N63" s="675">
        <v>2187</v>
      </c>
      <c r="O63" s="675">
        <v>0</v>
      </c>
      <c r="P63" s="675">
        <v>0</v>
      </c>
      <c r="Q63" s="675">
        <v>0</v>
      </c>
      <c r="R63" s="675">
        <v>6248.5714285714294</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486</v>
      </c>
      <c r="N88" s="630">
        <f t="shared" ref="N88:W88" si="5">SUM(N63:N87)</f>
        <v>2187</v>
      </c>
      <c r="O88" s="630">
        <f t="shared" si="5"/>
        <v>0</v>
      </c>
      <c r="P88" s="630">
        <f t="shared" si="5"/>
        <v>0</v>
      </c>
      <c r="Q88" s="630">
        <f t="shared" si="5"/>
        <v>0</v>
      </c>
      <c r="R88" s="630">
        <f t="shared" si="5"/>
        <v>6248.5714285714294</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486</v>
      </c>
      <c r="N90" s="630">
        <f t="shared" ref="N90:W90" si="7">SUMIF($Z$63:$Z$88,"tertiair",N63:N88)</f>
        <v>2187</v>
      </c>
      <c r="O90" s="630">
        <f t="shared" si="7"/>
        <v>0</v>
      </c>
      <c r="P90" s="630">
        <f t="shared" si="7"/>
        <v>0</v>
      </c>
      <c r="Q90" s="630">
        <f t="shared" si="7"/>
        <v>0</v>
      </c>
      <c r="R90" s="630">
        <f t="shared" si="7"/>
        <v>6248.5714285714294</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51456.390199999987</v>
      </c>
      <c r="D10" s="719">
        <f ca="1">tertiair!C16</f>
        <v>0</v>
      </c>
      <c r="E10" s="719">
        <f ca="1">tertiair!D16</f>
        <v>40476.795683557204</v>
      </c>
      <c r="F10" s="719">
        <f>tertiair!E16</f>
        <v>527.57795435049798</v>
      </c>
      <c r="G10" s="719">
        <f ca="1">tertiair!F16</f>
        <v>6914.6787545671541</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3.1266666666666669</v>
      </c>
      <c r="Q10" s="720">
        <f>tertiair!P16</f>
        <v>38.133333333333333</v>
      </c>
      <c r="R10" s="722">
        <f ca="1">SUM(C10:Q10)</f>
        <v>99416.702592474845</v>
      </c>
      <c r="S10" s="67"/>
    </row>
    <row r="11" spans="1:19" s="475" customFormat="1">
      <c r="A11" s="871" t="s">
        <v>225</v>
      </c>
      <c r="B11" s="876"/>
      <c r="C11" s="719">
        <f>huishoudens!B8</f>
        <v>70589.136068155785</v>
      </c>
      <c r="D11" s="719">
        <f>huishoudens!C8</f>
        <v>0</v>
      </c>
      <c r="E11" s="719">
        <f>huishoudens!D8</f>
        <v>99530.122274034569</v>
      </c>
      <c r="F11" s="719">
        <f>huishoudens!E8</f>
        <v>6681.3406170126927</v>
      </c>
      <c r="G11" s="719">
        <f>huishoudens!F8</f>
        <v>89155.988814448763</v>
      </c>
      <c r="H11" s="719">
        <f>huishoudens!G8</f>
        <v>0</v>
      </c>
      <c r="I11" s="719">
        <f>huishoudens!H8</f>
        <v>0</v>
      </c>
      <c r="J11" s="719">
        <f>huishoudens!I8</f>
        <v>0</v>
      </c>
      <c r="K11" s="719">
        <f>huishoudens!J8</f>
        <v>4790.7292750665238</v>
      </c>
      <c r="L11" s="719">
        <f>huishoudens!K8</f>
        <v>0</v>
      </c>
      <c r="M11" s="719">
        <f>huishoudens!L8</f>
        <v>0</v>
      </c>
      <c r="N11" s="719">
        <f>huishoudens!M8</f>
        <v>0</v>
      </c>
      <c r="O11" s="719">
        <f>huishoudens!N8</f>
        <v>28437.172040123252</v>
      </c>
      <c r="P11" s="719">
        <f>huishoudens!O8</f>
        <v>345.49666666666667</v>
      </c>
      <c r="Q11" s="720">
        <f>huishoudens!P8</f>
        <v>991.4666666666667</v>
      </c>
      <c r="R11" s="722">
        <f>SUM(C11:Q11)</f>
        <v>300521.45242217492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48487.308199999999</v>
      </c>
      <c r="D13" s="719">
        <f>industrie!C18</f>
        <v>0</v>
      </c>
      <c r="E13" s="719">
        <f>industrie!D18</f>
        <v>50947.502040572392</v>
      </c>
      <c r="F13" s="719">
        <f>industrie!E18</f>
        <v>2327.7749981210227</v>
      </c>
      <c r="G13" s="719">
        <f>industrie!F18</f>
        <v>37456.152532902684</v>
      </c>
      <c r="H13" s="719">
        <f>industrie!G18</f>
        <v>0</v>
      </c>
      <c r="I13" s="719">
        <f>industrie!H18</f>
        <v>0</v>
      </c>
      <c r="J13" s="719">
        <f>industrie!I18</f>
        <v>0</v>
      </c>
      <c r="K13" s="719">
        <f>industrie!J18</f>
        <v>473.69467849118979</v>
      </c>
      <c r="L13" s="719">
        <f>industrie!K18</f>
        <v>0</v>
      </c>
      <c r="M13" s="719">
        <f>industrie!L18</f>
        <v>0</v>
      </c>
      <c r="N13" s="719">
        <f>industrie!M18</f>
        <v>0</v>
      </c>
      <c r="O13" s="719">
        <f>industrie!N18</f>
        <v>14047.740359325067</v>
      </c>
      <c r="P13" s="719">
        <f>industrie!O18</f>
        <v>0</v>
      </c>
      <c r="Q13" s="720">
        <f>industrie!P18</f>
        <v>0</v>
      </c>
      <c r="R13" s="722">
        <f>SUM(C13:Q13)</f>
        <v>153740.17280941235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170532.83446815578</v>
      </c>
      <c r="D15" s="724">
        <f t="shared" ref="D15:Q15" ca="1" si="0">SUM(D9:D14)</f>
        <v>0</v>
      </c>
      <c r="E15" s="724">
        <f t="shared" ca="1" si="0"/>
        <v>190954.41999816417</v>
      </c>
      <c r="F15" s="724">
        <f t="shared" si="0"/>
        <v>9536.6935694842141</v>
      </c>
      <c r="G15" s="724">
        <f t="shared" ca="1" si="0"/>
        <v>133526.82010191859</v>
      </c>
      <c r="H15" s="724">
        <f t="shared" si="0"/>
        <v>0</v>
      </c>
      <c r="I15" s="724">
        <f t="shared" si="0"/>
        <v>0</v>
      </c>
      <c r="J15" s="724">
        <f t="shared" si="0"/>
        <v>0</v>
      </c>
      <c r="K15" s="724">
        <f t="shared" si="0"/>
        <v>5264.4239535577135</v>
      </c>
      <c r="L15" s="724">
        <f t="shared" si="0"/>
        <v>0</v>
      </c>
      <c r="M15" s="724">
        <f t="shared" ca="1" si="0"/>
        <v>0</v>
      </c>
      <c r="N15" s="724">
        <f t="shared" si="0"/>
        <v>0</v>
      </c>
      <c r="O15" s="724">
        <f t="shared" ca="1" si="0"/>
        <v>42484.912399448323</v>
      </c>
      <c r="P15" s="724">
        <f t="shared" si="0"/>
        <v>348.62333333333333</v>
      </c>
      <c r="Q15" s="725">
        <f t="shared" si="0"/>
        <v>1029.6000000000001</v>
      </c>
      <c r="R15" s="726">
        <f ca="1">SUM(R9:R14)</f>
        <v>553678.32782406209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2823.8461029894011</v>
      </c>
      <c r="I18" s="719">
        <f>transport!H54</f>
        <v>0</v>
      </c>
      <c r="J18" s="719">
        <f>transport!I54</f>
        <v>0</v>
      </c>
      <c r="K18" s="719">
        <f>transport!J54</f>
        <v>0</v>
      </c>
      <c r="L18" s="719">
        <f>transport!K54</f>
        <v>0</v>
      </c>
      <c r="M18" s="719">
        <f>transport!L54</f>
        <v>0</v>
      </c>
      <c r="N18" s="719">
        <f>transport!M54</f>
        <v>161.03571129740715</v>
      </c>
      <c r="O18" s="719">
        <f>transport!N54</f>
        <v>0</v>
      </c>
      <c r="P18" s="719">
        <f>transport!O54</f>
        <v>0</v>
      </c>
      <c r="Q18" s="720">
        <f>transport!P54</f>
        <v>0</v>
      </c>
      <c r="R18" s="722">
        <f>SUM(C18:Q18)</f>
        <v>2984.8818142868081</v>
      </c>
      <c r="S18" s="67"/>
    </row>
    <row r="19" spans="1:19" s="475" customFormat="1" ht="15" thickBot="1">
      <c r="A19" s="871" t="s">
        <v>307</v>
      </c>
      <c r="B19" s="876"/>
      <c r="C19" s="728">
        <f>transport!B14</f>
        <v>26.379414025501468</v>
      </c>
      <c r="D19" s="728">
        <f>transport!C14</f>
        <v>0</v>
      </c>
      <c r="E19" s="728">
        <f>transport!D14</f>
        <v>73.701390547953181</v>
      </c>
      <c r="F19" s="728">
        <f>transport!E14</f>
        <v>465.24803551140923</v>
      </c>
      <c r="G19" s="728">
        <f>transport!F14</f>
        <v>0</v>
      </c>
      <c r="H19" s="728">
        <f>transport!G14</f>
        <v>153830.69292947472</v>
      </c>
      <c r="I19" s="728">
        <f>transport!H14</f>
        <v>27754.334381743756</v>
      </c>
      <c r="J19" s="728">
        <f>transport!I14</f>
        <v>0</v>
      </c>
      <c r="K19" s="728">
        <f>transport!J14</f>
        <v>0</v>
      </c>
      <c r="L19" s="728">
        <f>transport!K14</f>
        <v>0</v>
      </c>
      <c r="M19" s="728">
        <f>transport!L14</f>
        <v>0</v>
      </c>
      <c r="N19" s="728">
        <f>transport!M14</f>
        <v>9752.7847133006326</v>
      </c>
      <c r="O19" s="728">
        <f>transport!N14</f>
        <v>0</v>
      </c>
      <c r="P19" s="728">
        <f>transport!O14</f>
        <v>0</v>
      </c>
      <c r="Q19" s="729">
        <f>transport!P14</f>
        <v>0</v>
      </c>
      <c r="R19" s="730">
        <f>SUM(C19:Q19)</f>
        <v>191903.14086460398</v>
      </c>
      <c r="S19" s="67"/>
    </row>
    <row r="20" spans="1:19" s="475" customFormat="1" ht="15.75" thickBot="1">
      <c r="A20" s="731" t="s">
        <v>230</v>
      </c>
      <c r="B20" s="879"/>
      <c r="C20" s="874">
        <f>SUM(C17:C19)</f>
        <v>26.379414025501468</v>
      </c>
      <c r="D20" s="732">
        <f t="shared" ref="D20:R20" si="1">SUM(D17:D19)</f>
        <v>0</v>
      </c>
      <c r="E20" s="732">
        <f t="shared" si="1"/>
        <v>73.701390547953181</v>
      </c>
      <c r="F20" s="732">
        <f t="shared" si="1"/>
        <v>465.24803551140923</v>
      </c>
      <c r="G20" s="732">
        <f t="shared" si="1"/>
        <v>0</v>
      </c>
      <c r="H20" s="732">
        <f t="shared" si="1"/>
        <v>156654.53903246412</v>
      </c>
      <c r="I20" s="732">
        <f t="shared" si="1"/>
        <v>27754.334381743756</v>
      </c>
      <c r="J20" s="732">
        <f t="shared" si="1"/>
        <v>0</v>
      </c>
      <c r="K20" s="732">
        <f t="shared" si="1"/>
        <v>0</v>
      </c>
      <c r="L20" s="732">
        <f t="shared" si="1"/>
        <v>0</v>
      </c>
      <c r="M20" s="732">
        <f t="shared" si="1"/>
        <v>0</v>
      </c>
      <c r="N20" s="732">
        <f t="shared" si="1"/>
        <v>9913.8204245980396</v>
      </c>
      <c r="O20" s="732">
        <f t="shared" si="1"/>
        <v>0</v>
      </c>
      <c r="P20" s="732">
        <f t="shared" si="1"/>
        <v>0</v>
      </c>
      <c r="Q20" s="733">
        <f t="shared" si="1"/>
        <v>0</v>
      </c>
      <c r="R20" s="734">
        <f t="shared" si="1"/>
        <v>194888.02267889079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1220.7645</v>
      </c>
      <c r="D22" s="728">
        <f>+landbouw!C8</f>
        <v>0</v>
      </c>
      <c r="E22" s="728">
        <f>+landbouw!D8</f>
        <v>4489.5136417382491</v>
      </c>
      <c r="F22" s="728">
        <f>+landbouw!E8</f>
        <v>11.307232102172572</v>
      </c>
      <c r="G22" s="728">
        <f>+landbouw!F8</f>
        <v>3097.3120918985969</v>
      </c>
      <c r="H22" s="728">
        <f>+landbouw!G8</f>
        <v>0</v>
      </c>
      <c r="I22" s="728">
        <f>+landbouw!H8</f>
        <v>0</v>
      </c>
      <c r="J22" s="728">
        <f>+landbouw!I8</f>
        <v>0</v>
      </c>
      <c r="K22" s="728">
        <f>+landbouw!J8</f>
        <v>187.15682162158228</v>
      </c>
      <c r="L22" s="728">
        <f>+landbouw!K8</f>
        <v>0</v>
      </c>
      <c r="M22" s="728">
        <f>+landbouw!L8</f>
        <v>0</v>
      </c>
      <c r="N22" s="728">
        <f>+landbouw!M8</f>
        <v>0</v>
      </c>
      <c r="O22" s="728">
        <f>+landbouw!N8</f>
        <v>0</v>
      </c>
      <c r="P22" s="728">
        <f>+landbouw!O8</f>
        <v>0</v>
      </c>
      <c r="Q22" s="729">
        <f>+landbouw!P8</f>
        <v>0</v>
      </c>
      <c r="R22" s="730">
        <f>SUM(C22:Q22)</f>
        <v>9006.0542873606009</v>
      </c>
      <c r="S22" s="67"/>
    </row>
    <row r="23" spans="1:19" s="475" customFormat="1" ht="17.25" thickTop="1" thickBot="1">
      <c r="A23" s="735" t="s">
        <v>116</v>
      </c>
      <c r="B23" s="865"/>
      <c r="C23" s="736">
        <f ca="1">C20+C15+C22</f>
        <v>171779.97838218126</v>
      </c>
      <c r="D23" s="736">
        <f t="shared" ref="D23:Q23" ca="1" si="2">D20+D15+D22</f>
        <v>0</v>
      </c>
      <c r="E23" s="736">
        <f t="shared" ca="1" si="2"/>
        <v>195517.63503045036</v>
      </c>
      <c r="F23" s="736">
        <f t="shared" si="2"/>
        <v>10013.248837097795</v>
      </c>
      <c r="G23" s="736">
        <f t="shared" ca="1" si="2"/>
        <v>136624.1321938172</v>
      </c>
      <c r="H23" s="736">
        <f t="shared" si="2"/>
        <v>156654.53903246412</v>
      </c>
      <c r="I23" s="736">
        <f t="shared" si="2"/>
        <v>27754.334381743756</v>
      </c>
      <c r="J23" s="736">
        <f t="shared" si="2"/>
        <v>0</v>
      </c>
      <c r="K23" s="736">
        <f t="shared" si="2"/>
        <v>5451.5807751792954</v>
      </c>
      <c r="L23" s="736">
        <f t="shared" si="2"/>
        <v>0</v>
      </c>
      <c r="M23" s="736">
        <f t="shared" ca="1" si="2"/>
        <v>0</v>
      </c>
      <c r="N23" s="736">
        <f t="shared" si="2"/>
        <v>9913.8204245980396</v>
      </c>
      <c r="O23" s="736">
        <f t="shared" ca="1" si="2"/>
        <v>42484.912399448323</v>
      </c>
      <c r="P23" s="736">
        <f t="shared" si="2"/>
        <v>348.62333333333333</v>
      </c>
      <c r="Q23" s="737">
        <f t="shared" si="2"/>
        <v>1029.6000000000001</v>
      </c>
      <c r="R23" s="738">
        <f ca="1">R20+R15+R22</f>
        <v>757572.40479031357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10621.803024272862</v>
      </c>
      <c r="D36" s="719">
        <f ca="1">tertiair!C20</f>
        <v>0</v>
      </c>
      <c r="E36" s="719">
        <f ca="1">tertiair!D20</f>
        <v>8176.3127280785557</v>
      </c>
      <c r="F36" s="719">
        <f>tertiair!E20</f>
        <v>119.76019563756304</v>
      </c>
      <c r="G36" s="719">
        <f ca="1">tertiair!F20</f>
        <v>1846.2192274694303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20764.095175458413</v>
      </c>
    </row>
    <row r="37" spans="1:18">
      <c r="A37" s="886" t="s">
        <v>225</v>
      </c>
      <c r="B37" s="893"/>
      <c r="C37" s="719">
        <f ca="1">huishoudens!B12</f>
        <v>14571.249480488157</v>
      </c>
      <c r="D37" s="719">
        <f ca="1">huishoudens!C12</f>
        <v>0</v>
      </c>
      <c r="E37" s="719">
        <f>huishoudens!D12</f>
        <v>20105.084699354986</v>
      </c>
      <c r="F37" s="719">
        <f>huishoudens!E12</f>
        <v>1516.6643200618812</v>
      </c>
      <c r="G37" s="719">
        <f>huishoudens!F12</f>
        <v>23804.64901345782</v>
      </c>
      <c r="H37" s="719">
        <f>huishoudens!G12</f>
        <v>0</v>
      </c>
      <c r="I37" s="719">
        <f>huishoudens!H12</f>
        <v>0</v>
      </c>
      <c r="J37" s="719">
        <f>huishoudens!I12</f>
        <v>0</v>
      </c>
      <c r="K37" s="719">
        <f>huishoudens!J12</f>
        <v>1695.9181633735493</v>
      </c>
      <c r="L37" s="719">
        <f>huishoudens!K12</f>
        <v>0</v>
      </c>
      <c r="M37" s="719">
        <f>huishoudens!L12</f>
        <v>0</v>
      </c>
      <c r="N37" s="719">
        <f>huishoudens!M12</f>
        <v>0</v>
      </c>
      <c r="O37" s="719">
        <f>huishoudens!N12</f>
        <v>0</v>
      </c>
      <c r="P37" s="719">
        <f>huishoudens!O12</f>
        <v>0</v>
      </c>
      <c r="Q37" s="829">
        <f>huishoudens!P12</f>
        <v>0</v>
      </c>
      <c r="R37" s="918">
        <f ca="1">SUM(C37:Q37)</f>
        <v>61693.565676736391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10008.91502252349</v>
      </c>
      <c r="D39" s="719">
        <f ca="1">industrie!C22</f>
        <v>0</v>
      </c>
      <c r="E39" s="719">
        <f>industrie!D22</f>
        <v>10291.395412195623</v>
      </c>
      <c r="F39" s="719">
        <f>industrie!E22</f>
        <v>528.40492457347216</v>
      </c>
      <c r="G39" s="719">
        <f>industrie!F22</f>
        <v>10000.792726285017</v>
      </c>
      <c r="H39" s="719">
        <f>industrie!G22</f>
        <v>0</v>
      </c>
      <c r="I39" s="719">
        <f>industrie!H22</f>
        <v>0</v>
      </c>
      <c r="J39" s="719">
        <f>industrie!I22</f>
        <v>0</v>
      </c>
      <c r="K39" s="719">
        <f>industrie!J22</f>
        <v>167.68791618588116</v>
      </c>
      <c r="L39" s="719">
        <f>industrie!K22</f>
        <v>0</v>
      </c>
      <c r="M39" s="719">
        <f>industrie!L22</f>
        <v>0</v>
      </c>
      <c r="N39" s="719">
        <f>industrie!M22</f>
        <v>0</v>
      </c>
      <c r="O39" s="719">
        <f>industrie!N22</f>
        <v>0</v>
      </c>
      <c r="P39" s="719">
        <f>industrie!O22</f>
        <v>0</v>
      </c>
      <c r="Q39" s="829">
        <f>industrie!P22</f>
        <v>0</v>
      </c>
      <c r="R39" s="919">
        <f ca="1">SUM(C39:Q39)</f>
        <v>30997.196001763481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35201.967527284512</v>
      </c>
      <c r="D41" s="764">
        <f t="shared" ref="D41:R41" ca="1" si="4">SUM(D35:D40)</f>
        <v>0</v>
      </c>
      <c r="E41" s="764">
        <f t="shared" ca="1" si="4"/>
        <v>38572.792839629168</v>
      </c>
      <c r="F41" s="764">
        <f t="shared" si="4"/>
        <v>2164.8294402729166</v>
      </c>
      <c r="G41" s="764">
        <f t="shared" ca="1" si="4"/>
        <v>35651.660967212272</v>
      </c>
      <c r="H41" s="764">
        <f t="shared" si="4"/>
        <v>0</v>
      </c>
      <c r="I41" s="764">
        <f t="shared" si="4"/>
        <v>0</v>
      </c>
      <c r="J41" s="764">
        <f t="shared" si="4"/>
        <v>0</v>
      </c>
      <c r="K41" s="764">
        <f t="shared" si="4"/>
        <v>1863.6060795594306</v>
      </c>
      <c r="L41" s="764">
        <f t="shared" si="4"/>
        <v>0</v>
      </c>
      <c r="M41" s="764">
        <f t="shared" ca="1" si="4"/>
        <v>0</v>
      </c>
      <c r="N41" s="764">
        <f t="shared" si="4"/>
        <v>0</v>
      </c>
      <c r="O41" s="764">
        <f t="shared" ca="1" si="4"/>
        <v>0</v>
      </c>
      <c r="P41" s="764">
        <f t="shared" si="4"/>
        <v>0</v>
      </c>
      <c r="Q41" s="765">
        <f t="shared" si="4"/>
        <v>0</v>
      </c>
      <c r="R41" s="766">
        <f t="shared" ca="1" si="4"/>
        <v>113454.85685395829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753.96690949817014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753.96690949817014</v>
      </c>
    </row>
    <row r="45" spans="1:18" ht="15" thickBot="1">
      <c r="A45" s="889" t="s">
        <v>307</v>
      </c>
      <c r="B45" s="899"/>
      <c r="C45" s="728">
        <f ca="1">transport!B18</f>
        <v>5.4453283369772318</v>
      </c>
      <c r="D45" s="728">
        <f>transport!C18</f>
        <v>0</v>
      </c>
      <c r="E45" s="728">
        <f>transport!D18</f>
        <v>14.887680890686543</v>
      </c>
      <c r="F45" s="728">
        <f>transport!E18</f>
        <v>105.6113040610899</v>
      </c>
      <c r="G45" s="728">
        <f>transport!F18</f>
        <v>0</v>
      </c>
      <c r="H45" s="728">
        <f>transport!G18</f>
        <v>41072.79501216975</v>
      </c>
      <c r="I45" s="728">
        <f>transport!H18</f>
        <v>6910.8292610541948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48109.568586512702</v>
      </c>
    </row>
    <row r="46" spans="1:18" ht="15.75" thickBot="1">
      <c r="A46" s="887" t="s">
        <v>230</v>
      </c>
      <c r="B46" s="900"/>
      <c r="C46" s="764">
        <f t="shared" ref="C46:R46" ca="1" si="5">SUM(C43:C45)</f>
        <v>5.4453283369772318</v>
      </c>
      <c r="D46" s="764">
        <f t="shared" ca="1" si="5"/>
        <v>0</v>
      </c>
      <c r="E46" s="764">
        <f t="shared" si="5"/>
        <v>14.887680890686543</v>
      </c>
      <c r="F46" s="764">
        <f t="shared" si="5"/>
        <v>105.6113040610899</v>
      </c>
      <c r="G46" s="764">
        <f t="shared" si="5"/>
        <v>0</v>
      </c>
      <c r="H46" s="764">
        <f t="shared" si="5"/>
        <v>41826.761921667923</v>
      </c>
      <c r="I46" s="764">
        <f t="shared" si="5"/>
        <v>6910.8292610541948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48863.535496010874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251.99435886633475</v>
      </c>
      <c r="D48" s="719">
        <f ca="1">+landbouw!C12</f>
        <v>0</v>
      </c>
      <c r="E48" s="719">
        <f>+landbouw!D12</f>
        <v>906.88175563112634</v>
      </c>
      <c r="F48" s="719">
        <f>+landbouw!E12</f>
        <v>2.5667416871931739</v>
      </c>
      <c r="G48" s="719">
        <f>+landbouw!F12</f>
        <v>826.98232853692548</v>
      </c>
      <c r="H48" s="719">
        <f>+landbouw!G12</f>
        <v>0</v>
      </c>
      <c r="I48" s="719">
        <f>+landbouw!H12</f>
        <v>0</v>
      </c>
      <c r="J48" s="719">
        <f>+landbouw!I12</f>
        <v>0</v>
      </c>
      <c r="K48" s="719">
        <f>+landbouw!J12</f>
        <v>66.25351485404012</v>
      </c>
      <c r="L48" s="719">
        <f>+landbouw!K12</f>
        <v>0</v>
      </c>
      <c r="M48" s="719">
        <f>+landbouw!L12</f>
        <v>0</v>
      </c>
      <c r="N48" s="719">
        <f>+landbouw!M12</f>
        <v>0</v>
      </c>
      <c r="O48" s="719">
        <f>+landbouw!N12</f>
        <v>0</v>
      </c>
      <c r="P48" s="719">
        <f>+landbouw!O12</f>
        <v>0</v>
      </c>
      <c r="Q48" s="720">
        <f>+landbouw!P12</f>
        <v>0</v>
      </c>
      <c r="R48" s="762">
        <f ca="1">SUM(C48:Q48)</f>
        <v>2054.6786995756197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35459.40721448783</v>
      </c>
      <c r="D53" s="774">
        <f t="shared" ref="D53:Q53" ca="1" si="6">D41+D46+D48</f>
        <v>0</v>
      </c>
      <c r="E53" s="774">
        <f t="shared" ca="1" si="6"/>
        <v>39494.56227615098</v>
      </c>
      <c r="F53" s="774">
        <f t="shared" si="6"/>
        <v>2273.0074860211998</v>
      </c>
      <c r="G53" s="774">
        <f t="shared" ca="1" si="6"/>
        <v>36478.6432957492</v>
      </c>
      <c r="H53" s="774">
        <f t="shared" si="6"/>
        <v>41826.761921667923</v>
      </c>
      <c r="I53" s="774">
        <f t="shared" si="6"/>
        <v>6910.8292610541948</v>
      </c>
      <c r="J53" s="774">
        <f t="shared" si="6"/>
        <v>0</v>
      </c>
      <c r="K53" s="774">
        <f t="shared" si="6"/>
        <v>1929.8595944134706</v>
      </c>
      <c r="L53" s="774">
        <f t="shared" si="6"/>
        <v>0</v>
      </c>
      <c r="M53" s="774">
        <f t="shared" ca="1" si="6"/>
        <v>0</v>
      </c>
      <c r="N53" s="774">
        <f t="shared" si="6"/>
        <v>0</v>
      </c>
      <c r="O53" s="774">
        <f t="shared" ca="1" si="6"/>
        <v>0</v>
      </c>
      <c r="P53" s="774">
        <f>P41+P46+P48</f>
        <v>0</v>
      </c>
      <c r="Q53" s="775">
        <f t="shared" si="6"/>
        <v>0</v>
      </c>
      <c r="R53" s="776">
        <f ca="1">R41+R46+R48</f>
        <v>164373.07104954479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0.20642340014501967</v>
      </c>
      <c r="D55" s="837">
        <f t="shared" ca="1" si="7"/>
        <v>0</v>
      </c>
      <c r="E55" s="837">
        <f t="shared" ca="1" si="7"/>
        <v>0.20200000000000004</v>
      </c>
      <c r="F55" s="837">
        <f t="shared" si="7"/>
        <v>0.22700000000000004</v>
      </c>
      <c r="G55" s="837">
        <f t="shared" ca="1" si="7"/>
        <v>0.26700000000000007</v>
      </c>
      <c r="H55" s="837">
        <f t="shared" si="7"/>
        <v>0.26700000000000002</v>
      </c>
      <c r="I55" s="837">
        <f t="shared" si="7"/>
        <v>0.24899999999999997</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9143.1719817838966</v>
      </c>
      <c r="C66" s="796">
        <f>'lokale energieproductie'!B6</f>
        <v>9143.1719817838966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2187</v>
      </c>
      <c r="C68" s="795">
        <f>B68*IFERROR(SUM(J68:L68)/SUM(D68:M68),0)</f>
        <v>2187</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6248.5714285714294</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11330.171981783897</v>
      </c>
      <c r="C69" s="804">
        <f>SUM(C64:C68)</f>
        <v>11330.171981783897</v>
      </c>
      <c r="D69" s="805">
        <f t="shared" ref="D69:M69" si="8">SUM(D67:D68)</f>
        <v>0</v>
      </c>
      <c r="E69" s="805">
        <f t="shared" si="8"/>
        <v>0</v>
      </c>
      <c r="F69" s="805">
        <f t="shared" si="8"/>
        <v>0</v>
      </c>
      <c r="G69" s="805">
        <f t="shared" si="8"/>
        <v>0</v>
      </c>
      <c r="H69" s="805">
        <f t="shared" si="8"/>
        <v>0</v>
      </c>
      <c r="I69" s="805">
        <f t="shared" si="8"/>
        <v>0</v>
      </c>
      <c r="J69" s="805">
        <f t="shared" si="8"/>
        <v>0</v>
      </c>
      <c r="K69" s="805">
        <f t="shared" si="8"/>
        <v>6248.5714285714294</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70589.136068155785</v>
      </c>
      <c r="C4" s="479">
        <f>huishoudens!C8</f>
        <v>0</v>
      </c>
      <c r="D4" s="479">
        <f>huishoudens!D8</f>
        <v>99530.122274034569</v>
      </c>
      <c r="E4" s="479">
        <f>huishoudens!E8</f>
        <v>6681.3406170126927</v>
      </c>
      <c r="F4" s="479">
        <f>huishoudens!F8</f>
        <v>89155.988814448763</v>
      </c>
      <c r="G4" s="479">
        <f>huishoudens!G8</f>
        <v>0</v>
      </c>
      <c r="H4" s="479">
        <f>huishoudens!H8</f>
        <v>0</v>
      </c>
      <c r="I4" s="479">
        <f>huishoudens!I8</f>
        <v>0</v>
      </c>
      <c r="J4" s="479">
        <f>huishoudens!J8</f>
        <v>4790.7292750665238</v>
      </c>
      <c r="K4" s="479">
        <f>huishoudens!K8</f>
        <v>0</v>
      </c>
      <c r="L4" s="479">
        <f>huishoudens!L8</f>
        <v>0</v>
      </c>
      <c r="M4" s="479">
        <f>huishoudens!M8</f>
        <v>0</v>
      </c>
      <c r="N4" s="479">
        <f>huishoudens!N8</f>
        <v>28437.172040123252</v>
      </c>
      <c r="O4" s="479">
        <f>huishoudens!O8</f>
        <v>345.49666666666667</v>
      </c>
      <c r="P4" s="480">
        <f>huishoudens!P8</f>
        <v>991.4666666666667</v>
      </c>
      <c r="Q4" s="481">
        <f>SUM(B4:P4)</f>
        <v>300521.45242217492</v>
      </c>
    </row>
    <row r="5" spans="1:17">
      <c r="A5" s="478" t="s">
        <v>156</v>
      </c>
      <c r="B5" s="479">
        <f ca="1">tertiair!B16</f>
        <v>48894.059199999989</v>
      </c>
      <c r="C5" s="479">
        <f ca="1">tertiair!C16</f>
        <v>0</v>
      </c>
      <c r="D5" s="479">
        <f ca="1">tertiair!D16</f>
        <v>40476.795683557204</v>
      </c>
      <c r="E5" s="479">
        <f>tertiair!E16</f>
        <v>527.57795435049798</v>
      </c>
      <c r="F5" s="479">
        <f ca="1">tertiair!F16</f>
        <v>6914.6787545671541</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3.1266666666666669</v>
      </c>
      <c r="P5" s="480">
        <f>tertiair!P16</f>
        <v>38.133333333333333</v>
      </c>
      <c r="Q5" s="478">
        <f t="shared" ref="Q5:Q13" ca="1" si="0">SUM(B5:P5)</f>
        <v>96854.371592474839</v>
      </c>
    </row>
    <row r="6" spans="1:17">
      <c r="A6" s="478" t="s">
        <v>194</v>
      </c>
      <c r="B6" s="479">
        <f>'openbare verlichting'!B8</f>
        <v>2562.3310000000001</v>
      </c>
      <c r="C6" s="479"/>
      <c r="D6" s="479"/>
      <c r="E6" s="479"/>
      <c r="F6" s="479"/>
      <c r="G6" s="479"/>
      <c r="H6" s="479"/>
      <c r="I6" s="479"/>
      <c r="J6" s="479"/>
      <c r="K6" s="479"/>
      <c r="L6" s="479"/>
      <c r="M6" s="479"/>
      <c r="N6" s="479"/>
      <c r="O6" s="479"/>
      <c r="P6" s="480"/>
      <c r="Q6" s="478">
        <f t="shared" si="0"/>
        <v>2562.3310000000001</v>
      </c>
    </row>
    <row r="7" spans="1:17">
      <c r="A7" s="478" t="s">
        <v>112</v>
      </c>
      <c r="B7" s="479">
        <f>landbouw!B8</f>
        <v>1220.7645</v>
      </c>
      <c r="C7" s="479">
        <f>landbouw!C8</f>
        <v>0</v>
      </c>
      <c r="D7" s="479">
        <f>landbouw!D8</f>
        <v>4489.5136417382491</v>
      </c>
      <c r="E7" s="479">
        <f>landbouw!E8</f>
        <v>11.307232102172572</v>
      </c>
      <c r="F7" s="479">
        <f>landbouw!F8</f>
        <v>3097.3120918985969</v>
      </c>
      <c r="G7" s="479">
        <f>landbouw!G8</f>
        <v>0</v>
      </c>
      <c r="H7" s="479">
        <f>landbouw!H8</f>
        <v>0</v>
      </c>
      <c r="I7" s="479">
        <f>landbouw!I8</f>
        <v>0</v>
      </c>
      <c r="J7" s="479">
        <f>landbouw!J8</f>
        <v>187.15682162158228</v>
      </c>
      <c r="K7" s="479">
        <f>landbouw!K8</f>
        <v>0</v>
      </c>
      <c r="L7" s="479">
        <f>landbouw!L8</f>
        <v>0</v>
      </c>
      <c r="M7" s="479">
        <f>landbouw!M8</f>
        <v>0</v>
      </c>
      <c r="N7" s="479">
        <f>landbouw!N8</f>
        <v>0</v>
      </c>
      <c r="O7" s="479">
        <f>landbouw!O8</f>
        <v>0</v>
      </c>
      <c r="P7" s="480">
        <f>landbouw!P8</f>
        <v>0</v>
      </c>
      <c r="Q7" s="478">
        <f t="shared" si="0"/>
        <v>9006.0542873606009</v>
      </c>
    </row>
    <row r="8" spans="1:17">
      <c r="A8" s="478" t="s">
        <v>650</v>
      </c>
      <c r="B8" s="479">
        <f>industrie!B18</f>
        <v>48487.308199999999</v>
      </c>
      <c r="C8" s="479">
        <f>industrie!C18</f>
        <v>0</v>
      </c>
      <c r="D8" s="479">
        <f>industrie!D18</f>
        <v>50947.502040572392</v>
      </c>
      <c r="E8" s="479">
        <f>industrie!E18</f>
        <v>2327.7749981210227</v>
      </c>
      <c r="F8" s="479">
        <f>industrie!F18</f>
        <v>37456.152532902684</v>
      </c>
      <c r="G8" s="479">
        <f>industrie!G18</f>
        <v>0</v>
      </c>
      <c r="H8" s="479">
        <f>industrie!H18</f>
        <v>0</v>
      </c>
      <c r="I8" s="479">
        <f>industrie!I18</f>
        <v>0</v>
      </c>
      <c r="J8" s="479">
        <f>industrie!J18</f>
        <v>473.69467849118979</v>
      </c>
      <c r="K8" s="479">
        <f>industrie!K18</f>
        <v>0</v>
      </c>
      <c r="L8" s="479">
        <f>industrie!L18</f>
        <v>0</v>
      </c>
      <c r="M8" s="479">
        <f>industrie!M18</f>
        <v>0</v>
      </c>
      <c r="N8" s="479">
        <f>industrie!N18</f>
        <v>14047.740359325067</v>
      </c>
      <c r="O8" s="479">
        <f>industrie!O18</f>
        <v>0</v>
      </c>
      <c r="P8" s="480">
        <f>industrie!P18</f>
        <v>0</v>
      </c>
      <c r="Q8" s="478">
        <f t="shared" si="0"/>
        <v>153740.17280941235</v>
      </c>
    </row>
    <row r="9" spans="1:17" s="484" customFormat="1">
      <c r="A9" s="482" t="s">
        <v>571</v>
      </c>
      <c r="B9" s="483">
        <f>transport!B14</f>
        <v>26.379414025501468</v>
      </c>
      <c r="C9" s="483">
        <f>transport!C14</f>
        <v>0</v>
      </c>
      <c r="D9" s="483">
        <f>transport!D14</f>
        <v>73.701390547953181</v>
      </c>
      <c r="E9" s="483">
        <f>transport!E14</f>
        <v>465.24803551140923</v>
      </c>
      <c r="F9" s="483">
        <f>transport!F14</f>
        <v>0</v>
      </c>
      <c r="G9" s="483">
        <f>transport!G14</f>
        <v>153830.69292947472</v>
      </c>
      <c r="H9" s="483">
        <f>transport!H14</f>
        <v>27754.334381743756</v>
      </c>
      <c r="I9" s="483">
        <f>transport!I14</f>
        <v>0</v>
      </c>
      <c r="J9" s="483">
        <f>transport!J14</f>
        <v>0</v>
      </c>
      <c r="K9" s="483">
        <f>transport!K14</f>
        <v>0</v>
      </c>
      <c r="L9" s="483">
        <f>transport!L14</f>
        <v>0</v>
      </c>
      <c r="M9" s="483">
        <f>transport!M14</f>
        <v>9752.7847133006326</v>
      </c>
      <c r="N9" s="483">
        <f>transport!N14</f>
        <v>0</v>
      </c>
      <c r="O9" s="483">
        <f>transport!O14</f>
        <v>0</v>
      </c>
      <c r="P9" s="483">
        <f>transport!P14</f>
        <v>0</v>
      </c>
      <c r="Q9" s="482">
        <f>SUM(B9:P9)</f>
        <v>191903.14086460398</v>
      </c>
    </row>
    <row r="10" spans="1:17">
      <c r="A10" s="478" t="s">
        <v>561</v>
      </c>
      <c r="B10" s="479">
        <f>transport!B54</f>
        <v>0</v>
      </c>
      <c r="C10" s="479">
        <f>transport!C54</f>
        <v>0</v>
      </c>
      <c r="D10" s="479">
        <f>transport!D54</f>
        <v>0</v>
      </c>
      <c r="E10" s="479">
        <f>transport!E54</f>
        <v>0</v>
      </c>
      <c r="F10" s="479">
        <f>transport!F54</f>
        <v>0</v>
      </c>
      <c r="G10" s="479">
        <f>transport!G54</f>
        <v>2823.8461029894011</v>
      </c>
      <c r="H10" s="479">
        <f>transport!H54</f>
        <v>0</v>
      </c>
      <c r="I10" s="479">
        <f>transport!I54</f>
        <v>0</v>
      </c>
      <c r="J10" s="479">
        <f>transport!J54</f>
        <v>0</v>
      </c>
      <c r="K10" s="479">
        <f>transport!K54</f>
        <v>0</v>
      </c>
      <c r="L10" s="479">
        <f>transport!L54</f>
        <v>0</v>
      </c>
      <c r="M10" s="479">
        <f>transport!M54</f>
        <v>161.03571129740715</v>
      </c>
      <c r="N10" s="479">
        <f>transport!N54</f>
        <v>0</v>
      </c>
      <c r="O10" s="479">
        <f>transport!O54</f>
        <v>0</v>
      </c>
      <c r="P10" s="480">
        <f>transport!P54</f>
        <v>0</v>
      </c>
      <c r="Q10" s="478">
        <f t="shared" si="0"/>
        <v>2984.8818142868081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171779.97838218129</v>
      </c>
      <c r="C14" s="489">
        <f t="shared" ref="C14:Q14" ca="1" si="1">SUM(C4:C13)</f>
        <v>0</v>
      </c>
      <c r="D14" s="489">
        <f t="shared" ca="1" si="1"/>
        <v>195517.63503045033</v>
      </c>
      <c r="E14" s="489">
        <f t="shared" si="1"/>
        <v>10013.248837097795</v>
      </c>
      <c r="F14" s="489">
        <f t="shared" ca="1" si="1"/>
        <v>136624.1321938172</v>
      </c>
      <c r="G14" s="489">
        <f t="shared" si="1"/>
        <v>156654.53903246412</v>
      </c>
      <c r="H14" s="489">
        <f t="shared" si="1"/>
        <v>27754.334381743756</v>
      </c>
      <c r="I14" s="489">
        <f t="shared" si="1"/>
        <v>0</v>
      </c>
      <c r="J14" s="489">
        <f t="shared" si="1"/>
        <v>5451.5807751792954</v>
      </c>
      <c r="K14" s="489">
        <f t="shared" si="1"/>
        <v>0</v>
      </c>
      <c r="L14" s="489">
        <f t="shared" ca="1" si="1"/>
        <v>0</v>
      </c>
      <c r="M14" s="489">
        <f t="shared" si="1"/>
        <v>9913.8204245980396</v>
      </c>
      <c r="N14" s="489">
        <f t="shared" ca="1" si="1"/>
        <v>42484.912399448323</v>
      </c>
      <c r="O14" s="489">
        <f t="shared" si="1"/>
        <v>348.62333333333333</v>
      </c>
      <c r="P14" s="490">
        <f t="shared" si="1"/>
        <v>1029.6000000000001</v>
      </c>
      <c r="Q14" s="490">
        <f t="shared" ca="1" si="1"/>
        <v>757572.40479031345</v>
      </c>
    </row>
    <row r="16" spans="1:17">
      <c r="A16" s="492" t="s">
        <v>566</v>
      </c>
      <c r="B16" s="842">
        <f ca="1">huishoudens!B10</f>
        <v>0.20642340014501959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14571.249480488157</v>
      </c>
      <c r="C21" s="479">
        <f t="shared" ref="C21:C30" ca="1" si="3">C4*$C$16</f>
        <v>0</v>
      </c>
      <c r="D21" s="479">
        <f t="shared" ref="D21:D30" si="4">D4*$D$16</f>
        <v>20105.084699354986</v>
      </c>
      <c r="E21" s="479">
        <f t="shared" ref="E21:E30" si="5">E4*$E$16</f>
        <v>1516.6643200618812</v>
      </c>
      <c r="F21" s="479">
        <f t="shared" ref="F21:F30" si="6">F4*$F$16</f>
        <v>23804.64901345782</v>
      </c>
      <c r="G21" s="479">
        <f t="shared" ref="G21:G30" si="7">G4*$G$16</f>
        <v>0</v>
      </c>
      <c r="H21" s="479">
        <f t="shared" ref="H21:H30" si="8">H4*$H$16</f>
        <v>0</v>
      </c>
      <c r="I21" s="479">
        <f t="shared" ref="I21:I30" si="9">I4*$I$16</f>
        <v>0</v>
      </c>
      <c r="J21" s="479">
        <f t="shared" ref="J21:J30" si="10">J4*$J$16</f>
        <v>1695.9181633735493</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61693.565676736391</v>
      </c>
    </row>
    <row r="22" spans="1:17">
      <c r="A22" s="478" t="s">
        <v>156</v>
      </c>
      <c r="B22" s="479">
        <f t="shared" ca="1" si="2"/>
        <v>10092.877946955874</v>
      </c>
      <c r="C22" s="479">
        <f t="shared" ca="1" si="3"/>
        <v>0</v>
      </c>
      <c r="D22" s="479">
        <f t="shared" ca="1" si="4"/>
        <v>8176.3127280785557</v>
      </c>
      <c r="E22" s="479">
        <f t="shared" si="5"/>
        <v>119.76019563756304</v>
      </c>
      <c r="F22" s="479">
        <f t="shared" ca="1" si="6"/>
        <v>1846.2192274694303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20235.170098141421</v>
      </c>
    </row>
    <row r="23" spans="1:17">
      <c r="A23" s="478" t="s">
        <v>194</v>
      </c>
      <c r="B23" s="479">
        <f t="shared" ca="1" si="2"/>
        <v>528.92507731698822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528.92507731698822</v>
      </c>
    </row>
    <row r="24" spans="1:17">
      <c r="A24" s="478" t="s">
        <v>112</v>
      </c>
      <c r="B24" s="479">
        <f t="shared" ca="1" si="2"/>
        <v>251.99435886633475</v>
      </c>
      <c r="C24" s="479">
        <f t="shared" ca="1" si="3"/>
        <v>0</v>
      </c>
      <c r="D24" s="479">
        <f t="shared" si="4"/>
        <v>906.88175563112634</v>
      </c>
      <c r="E24" s="479">
        <f t="shared" si="5"/>
        <v>2.5667416871931739</v>
      </c>
      <c r="F24" s="479">
        <f t="shared" si="6"/>
        <v>826.98232853692548</v>
      </c>
      <c r="G24" s="479">
        <f t="shared" si="7"/>
        <v>0</v>
      </c>
      <c r="H24" s="479">
        <f t="shared" si="8"/>
        <v>0</v>
      </c>
      <c r="I24" s="479">
        <f t="shared" si="9"/>
        <v>0</v>
      </c>
      <c r="J24" s="479">
        <f t="shared" si="10"/>
        <v>66.25351485404012</v>
      </c>
      <c r="K24" s="479">
        <f t="shared" si="11"/>
        <v>0</v>
      </c>
      <c r="L24" s="479">
        <f t="shared" si="12"/>
        <v>0</v>
      </c>
      <c r="M24" s="479">
        <f t="shared" si="13"/>
        <v>0</v>
      </c>
      <c r="N24" s="479">
        <f t="shared" si="14"/>
        <v>0</v>
      </c>
      <c r="O24" s="479">
        <f t="shared" si="15"/>
        <v>0</v>
      </c>
      <c r="P24" s="480">
        <f t="shared" si="16"/>
        <v>0</v>
      </c>
      <c r="Q24" s="478">
        <f t="shared" ca="1" si="17"/>
        <v>2054.6786995756197</v>
      </c>
    </row>
    <row r="25" spans="1:17">
      <c r="A25" s="478" t="s">
        <v>650</v>
      </c>
      <c r="B25" s="479">
        <f t="shared" ca="1" si="2"/>
        <v>10008.91502252349</v>
      </c>
      <c r="C25" s="479">
        <f t="shared" ca="1" si="3"/>
        <v>0</v>
      </c>
      <c r="D25" s="479">
        <f t="shared" si="4"/>
        <v>10291.395412195623</v>
      </c>
      <c r="E25" s="479">
        <f t="shared" si="5"/>
        <v>528.40492457347216</v>
      </c>
      <c r="F25" s="479">
        <f t="shared" si="6"/>
        <v>10000.792726285017</v>
      </c>
      <c r="G25" s="479">
        <f t="shared" si="7"/>
        <v>0</v>
      </c>
      <c r="H25" s="479">
        <f t="shared" si="8"/>
        <v>0</v>
      </c>
      <c r="I25" s="479">
        <f t="shared" si="9"/>
        <v>0</v>
      </c>
      <c r="J25" s="479">
        <f t="shared" si="10"/>
        <v>167.68791618588116</v>
      </c>
      <c r="K25" s="479">
        <f t="shared" si="11"/>
        <v>0</v>
      </c>
      <c r="L25" s="479">
        <f t="shared" si="12"/>
        <v>0</v>
      </c>
      <c r="M25" s="479">
        <f t="shared" si="13"/>
        <v>0</v>
      </c>
      <c r="N25" s="479">
        <f t="shared" si="14"/>
        <v>0</v>
      </c>
      <c r="O25" s="479">
        <f t="shared" si="15"/>
        <v>0</v>
      </c>
      <c r="P25" s="480">
        <f t="shared" si="16"/>
        <v>0</v>
      </c>
      <c r="Q25" s="478">
        <f t="shared" ca="1" si="17"/>
        <v>30997.196001763481</v>
      </c>
    </row>
    <row r="26" spans="1:17" s="484" customFormat="1">
      <c r="A26" s="482" t="s">
        <v>571</v>
      </c>
      <c r="B26" s="836">
        <f t="shared" ca="1" si="2"/>
        <v>5.4453283369772318</v>
      </c>
      <c r="C26" s="483">
        <f t="shared" ca="1" si="3"/>
        <v>0</v>
      </c>
      <c r="D26" s="483">
        <f t="shared" si="4"/>
        <v>14.887680890686543</v>
      </c>
      <c r="E26" s="483">
        <f t="shared" si="5"/>
        <v>105.6113040610899</v>
      </c>
      <c r="F26" s="483">
        <f t="shared" si="6"/>
        <v>0</v>
      </c>
      <c r="G26" s="483">
        <f t="shared" si="7"/>
        <v>41072.79501216975</v>
      </c>
      <c r="H26" s="483">
        <f t="shared" si="8"/>
        <v>6910.8292610541948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48109.568586512702</v>
      </c>
    </row>
    <row r="27" spans="1:17">
      <c r="A27" s="478" t="s">
        <v>561</v>
      </c>
      <c r="B27" s="479">
        <f t="shared" ca="1" si="2"/>
        <v>0</v>
      </c>
      <c r="C27" s="479">
        <f t="shared" ca="1" si="3"/>
        <v>0</v>
      </c>
      <c r="D27" s="479">
        <f t="shared" si="4"/>
        <v>0</v>
      </c>
      <c r="E27" s="479">
        <f t="shared" si="5"/>
        <v>0</v>
      </c>
      <c r="F27" s="479">
        <f t="shared" si="6"/>
        <v>0</v>
      </c>
      <c r="G27" s="479">
        <f t="shared" si="7"/>
        <v>753.96690949817014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753.96690949817014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35459.407214487823</v>
      </c>
      <c r="C31" s="489">
        <f t="shared" ca="1" si="18"/>
        <v>0</v>
      </c>
      <c r="D31" s="489">
        <f t="shared" ca="1" si="18"/>
        <v>39494.56227615098</v>
      </c>
      <c r="E31" s="489">
        <f t="shared" si="18"/>
        <v>2273.0074860211994</v>
      </c>
      <c r="F31" s="489">
        <f t="shared" ca="1" si="18"/>
        <v>36478.643295749192</v>
      </c>
      <c r="G31" s="489">
        <f t="shared" si="18"/>
        <v>41826.761921667923</v>
      </c>
      <c r="H31" s="489">
        <f t="shared" si="18"/>
        <v>6910.8292610541948</v>
      </c>
      <c r="I31" s="489">
        <f t="shared" si="18"/>
        <v>0</v>
      </c>
      <c r="J31" s="489">
        <f t="shared" si="18"/>
        <v>1929.8595944134706</v>
      </c>
      <c r="K31" s="489">
        <f t="shared" si="18"/>
        <v>0</v>
      </c>
      <c r="L31" s="489">
        <f t="shared" ca="1" si="18"/>
        <v>0</v>
      </c>
      <c r="M31" s="489">
        <f t="shared" si="18"/>
        <v>0</v>
      </c>
      <c r="N31" s="489">
        <f t="shared" ca="1" si="18"/>
        <v>0</v>
      </c>
      <c r="O31" s="489">
        <f t="shared" si="18"/>
        <v>0</v>
      </c>
      <c r="P31" s="490">
        <f t="shared" si="18"/>
        <v>0</v>
      </c>
      <c r="Q31" s="490">
        <f t="shared" ca="1" si="18"/>
        <v>164373.07104954481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0.20642340014501959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0.20642340014501959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0.20642340014501959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2018-06-27T09:37:21Z</dcterms:modified>
</cp:coreProperties>
</file>