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L6" i="17" s="1"/>
  <c r="L5" s="1"/>
  <c r="S60" i="18"/>
  <c r="R60"/>
  <c r="Q60"/>
  <c r="P60"/>
  <c r="O60"/>
  <c r="C6" i="17" s="1"/>
  <c r="N60" i="18"/>
  <c r="M60"/>
  <c r="W59"/>
  <c r="V59"/>
  <c r="U59"/>
  <c r="T59"/>
  <c r="S59"/>
  <c r="R59"/>
  <c r="Q59"/>
  <c r="P59"/>
  <c r="D13" i="15" s="1"/>
  <c r="O59" i="18"/>
  <c r="C13" i="15" s="1"/>
  <c r="C16" s="1"/>
  <c r="N59" i="18"/>
  <c r="M59"/>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13" i="15"/>
  <c r="F6" i="17"/>
  <c r="B8" i="9"/>
  <c r="D6" i="17"/>
  <c r="D8" s="1"/>
  <c r="D12" s="1"/>
  <c r="E48" i="14" s="1"/>
  <c r="I8" i="18"/>
  <c r="J68" i="14" s="1"/>
  <c r="L16" i="16"/>
  <c r="L18" s="1"/>
  <c r="B13"/>
  <c r="C35"/>
  <c r="E9" i="14"/>
  <c r="D14" i="15"/>
  <c r="P18" i="16"/>
  <c r="P22" s="1"/>
  <c r="Q39" i="14" s="1"/>
  <c r="N6" i="17"/>
  <c r="N5" s="1"/>
  <c r="I14" i="15"/>
  <c r="I16" s="1"/>
  <c r="J10" i="14" s="1"/>
  <c r="J15"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B34" s="1"/>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N8" i="17"/>
  <c r="O22" i="14" s="1"/>
  <c r="B35" i="13"/>
  <c r="O18" i="16"/>
  <c r="O22" s="1"/>
  <c r="P39" i="14" s="1"/>
  <c r="B36" i="13"/>
  <c r="G31" i="20"/>
  <c r="H43" i="14" s="1"/>
  <c r="G12" i="22"/>
  <c r="D18" i="16"/>
  <c r="D22" s="1"/>
  <c r="E39" i="14" s="1"/>
  <c r="F22"/>
  <c r="E8" i="17"/>
  <c r="H13" i="48"/>
  <c r="H30" s="1"/>
  <c r="H12" i="22"/>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E7" i="48"/>
  <c r="E24" s="1"/>
  <c r="E12" i="17"/>
  <c r="F48" i="14" s="1"/>
  <c r="C5" i="48"/>
  <c r="G14" i="22" l="1"/>
  <c r="G9" i="48" s="1"/>
  <c r="P13" i="14"/>
  <c r="P15" s="1"/>
  <c r="P23" s="1"/>
  <c r="P55" s="1"/>
  <c r="O8" i="48"/>
  <c r="O25" s="1"/>
  <c r="P41" i="14"/>
  <c r="P53" s="1"/>
  <c r="N7" i="48"/>
  <c r="N24" s="1"/>
  <c r="D8"/>
  <c r="D25" s="1"/>
  <c r="J16" i="15"/>
  <c r="J5" i="48" s="1"/>
  <c r="J22" s="1"/>
  <c r="E20" i="15"/>
  <c r="F36" i="14" s="1"/>
  <c r="E16" i="15"/>
  <c r="F10" i="14" s="1"/>
  <c r="H14" i="22"/>
  <c r="I19" i="14" s="1"/>
  <c r="I20" s="1"/>
  <c r="I23" s="1"/>
  <c r="N12" i="17"/>
  <c r="O48" i="14" s="1"/>
  <c r="L7" i="48"/>
  <c r="L24" s="1"/>
  <c r="M22" i="14"/>
  <c r="R22"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E5" i="48"/>
  <c r="E22" s="1"/>
  <c r="F18" i="16"/>
  <c r="G13" i="14" s="1"/>
  <c r="G15" s="1"/>
  <c r="G23" s="1"/>
  <c r="M16" i="18"/>
  <c r="M19" s="1"/>
  <c r="K10" i="14"/>
  <c r="R10" s="1"/>
  <c r="J18" i="16"/>
  <c r="J22" s="1"/>
  <c r="K39" i="14" s="1"/>
  <c r="Q7" i="48"/>
  <c r="E8"/>
  <c r="E25" s="1"/>
  <c r="E31" s="1"/>
  <c r="E18" i="16"/>
  <c r="E22" s="1"/>
  <c r="F39" i="14" s="1"/>
  <c r="F41" s="1"/>
  <c r="F53"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N14"/>
  <c r="R11" i="14"/>
  <c r="J21" i="48"/>
  <c r="E14" l="1"/>
  <c r="K41" i="14"/>
  <c r="K53" s="1"/>
  <c r="K55" s="1"/>
  <c r="N31" i="48"/>
  <c r="K15" i="14"/>
  <c r="K23" s="1"/>
  <c r="H55"/>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<sst xmlns="http://schemas.openxmlformats.org/spreadsheetml/2006/main" count="1950" uniqueCount="834">
  <si>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</si>
  <si>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</si>
  <si>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</si>
  <si>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</si>
  <si>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</si>
  <si>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</si>
  <si>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</si>
  <si>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</si>
  <si>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</si>
  <si>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</si>
  <si>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</si>
  <si>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</si>
  <si>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</si>
  <si>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</si>
  <si>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</si>
  <si>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</si>
  <si>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</si>
  <si>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</si>
  <si>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</si>
  <si>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</si>
  <si>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</si>
  <si>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</si>
  <si>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</si>
  <si>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</si>
  <si>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</si>
  <si>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</si>
  <si>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</si>
  <si>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</si>
  <si>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</si>
  <si>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</si>
  <si>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</si>
  <si>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</si>
  <si>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</si>
  <si>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</si>
  <si>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</si>
  <si>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</si>
  <si>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</si>
  <si>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</si>
  <si>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</si>
  <si>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</si>
  <si>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</si>
  <si>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</si>
  <si>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</si>
  <si>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</si>
  <si>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</si>
  <si>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</si>
  <si>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</si>
  <si>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</si>
  <si>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</si>
  <si>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</si>
  <si>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</si>
  <si>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</si>
  <si>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</si>
  <si>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</si>
  <si>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</si>
  <si>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</si>
  <si>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</si>
  <si>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</si>
  <si>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</si>
  <si>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</si>
  <si>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</si>
  <si>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</si>
  <si>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</si>
  <si>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</si>
  <si>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</si>
  <si>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</si>
  <si>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</si>
  <si>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</si>
  <si>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</si>
  <si>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</si>
  <si>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</si>
  <si>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</si>
  <si>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</si>
  <si>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</si>
  <si>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</si>
  <si>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</si>
  <si>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</si>
  <si>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</si>
  <si>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</si>
  <si>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</si>
  <si>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</si>
  <si>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</si>
  <si>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</si>
  <si>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</si>
  <si>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</si>
  <si>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</si>
  <si>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</si>
  <si>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</si>
  <si>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</si>
  <si>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</si>
  <si>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</si>
  <si>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</si>
  <si>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</si>
  <si>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</si>
  <si>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</si>
  <si>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</si>
  <si>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</si>
  <si>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</si>
  <si>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</si>
  <si>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</si>
  <si>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</si>
  <si>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</si>
  <si>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</si>
  <si>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</si>
  <si>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</si>
  <si>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</si>
  <si>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</si>
  <si>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</si>
  <si>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</si>
  <si>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</si>
  <si>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</si>
  <si>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</si>
  <si>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</si>
  <si>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</si>
  <si>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</si>
  <si>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</si>
  <si>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</si>
  <si>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</si>
  <si>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</si>
  <si>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</si>
  <si>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</si>
  <si>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</si>
  <si>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</si>
  <si>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</si>
  <si>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</si>
  <si>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</si>
  <si>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</si>
  <si>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</si>
  <si>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</si>
  <si>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</si>
  <si>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</si>
  <si>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</si>
  <si>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</si>
  <si>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</si>
  <si>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</si>
  <si>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</si>
  <si>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</si>
  <si>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</si>
  <si>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</si>
  <si>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</si>
  <si>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</si>
  <si>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</si>
  <si>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</si>
  <si>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</si>
  <si>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</si>
  <si>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</si>
  <si>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</si>
  <si>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</si>
  <si>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</si>
  <si>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</si>
  <si>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</si>
  <si>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</si>
  <si>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</si>
  <si>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</si>
  <si>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</si>
  <si>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</si>
  <si>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</si>
  <si>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</si>
  <si>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</si>
  <si>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</si>
  <si>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</si>
  <si>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</si>
  <si>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</si>
  <si>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</si>
  <si>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</si>
  <si>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</si>
  <si>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</si>
  <si>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</si>
  <si>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</si>
  <si>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</si>
  <si>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</si>
  <si>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</si>
  <si>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</si>
  <si>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</si>
  <si>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</si>
  <si>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</si>
  <si>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</si>
  <si>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</si>
  <si>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</si>
  <si>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</si>
  <si>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</si>
  <si>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</si>
  <si>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</si>
  <si>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</si>
  <si>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</si>
  <si>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</si>
  <si>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</si>
  <si>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</si>
  <si>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</si>
  <si>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</si>
  <si>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</si>
  <si>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</si>
  <si>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</si>
  <si>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</si>
  <si>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</si>
  <si>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</si>
  <si>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</si>
  <si>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</si>
  <si>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</si>
  <si>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</si>
  <si>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</si>
  <si>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</si>
  <si>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</si>
  <si>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</si>
  <si>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</si>
  <si>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</si>
  <si>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</si>
  <si>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</si>
  <si>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</si>
  <si>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</si>
  <si>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</si>
  <si>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</si>
  <si>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</si>
  <si>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</si>
  <si>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</si>
  <si>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</si>
  <si>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</si>
  <si>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</si>
  <si>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</si>
  <si>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</si>
  <si>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</si>
  <si>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</si>
  <si>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</si>
  <si>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</si>
  <si>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</si>
  <si>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</si>
  <si>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</si>
  <si>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</si>
  <si>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</si>
  <si>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</si>
  <si>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</si>
  <si>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</si>
  <si>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</si>
  <si>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</si>
  <si>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</si>
  <si>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</si>
  <si>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</si>
  <si>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</si>
  <si>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</si>
  <si>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</si>
  <si>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</si>
  <si>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</si>
  <si>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</si>
  <si>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</si>
  <si>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</si>
  <si>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</si>
  <si>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</si>
  <si>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</si>
  <si>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</si>
  <si>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</si>
  <si>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</si>
  <si>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</si>
  <si>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</si>
  <si>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</si>
  <si>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</si>
  <si>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</si>
  <si>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</si>
  <si>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</si>
  <si>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</si>
  <si>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</si>
  <si>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</si>
  <si>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</si>
  <si>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</si>
  <si>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</si>
  <si>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</si>
  <si>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</si>
  <si>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</si>
  <si>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</si>
  <si>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</si>
  <si>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</si>
  <si>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</si>
  <si>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</si>
  <si>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</si>
  <si>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</si>
  <si>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</si>
  <si>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</si>
  <si>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</si>
  <si>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</si>
  <si>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</si>
  <si>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</si>
  <si>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</si>
  <si>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</si>
  <si>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</si>
  <si>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</si>
  <si>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</si>
  <si>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</si>
  <si>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</si>
  <si>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</si>
  <si>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</si>
  <si>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</si>
  <si>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</si>
  <si>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</si>
  <si>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</si>
  <si>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</si>
  <si>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</si>
  <si>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</si>
  <si>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</si>
  <si>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</si>
  <si>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</si>
  <si>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</si>
  <si>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</si>
  <si>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</si>
  <si>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</si>
  <si>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</si>
  <si>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</si>
  <si>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</si>
  <si>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</si>
  <si>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</si>
  <si>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</si>
  <si>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</si>
  <si>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</si>
  <si>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</si>
  <si>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</si>
  <si>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</si>
  <si>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</si>
  <si>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</si>
  <si>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</si>
  <si>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</si>
  <si>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</si>
  <si>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</si>
  <si>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</si>
  <si>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</si>
  <si>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</si>
  <si>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</si>
  <si>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</si>
  <si>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</si>
  <si>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</si>
  <si>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</si>
  <si>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</si>
  <si>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</si>
  <si>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</si>
  <si>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</si>
  <si>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</si>
  <si>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</si>
  <si>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</si>
  <si>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</si>
  <si>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</si>
  <si>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</si>
  <si>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</si>
  <si>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</si>
  <si>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</si>
  <si>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</si>
  <si>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</si>
  <si>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</si>
  <si>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</si>
  <si>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</si>
  <si>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</si>
  <si>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</si>
  <si>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</si>
  <si>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</si>
  <si>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</si>
  <si>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</si>
  <si>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</si>
  <si>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</si>
  <si>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</si>
  <si>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</si>
  <si>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</si>
  <si>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</si>
  <si>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</si>
  <si>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</si>
  <si>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</si>
  <si>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</si>
  <si>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</si>
  <si>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</si>
  <si>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</si>
  <si>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</si>
  <si>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</si>
  <si>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</si>
  <si>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</si>
  <si>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</si>
  <si>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</si>
  <si>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</si>
  <si>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</si>
  <si>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</si>
  <si>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</si>
  <si>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</si>
  <si>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</si>
  <si>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</si>
  <si>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</si>
  <si>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</si>
  <si>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</si>
  <si>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</si>
  <si>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</si>
  <si>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</si>
  <si>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</si>
  <si>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</si>
  <si>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</si>
  <si>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</si>
  <si>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</si>
  <si>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</si>
  <si>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</si>
  <si>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</si>
  <si>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</si>
  <si>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</si>
  <si>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</si>
  <si>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</si>
  <si>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</si>
  <si>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</si>
  <si>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</si>
  <si>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</si>
  <si>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</si>
  <si>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</si>
  <si>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</si>
  <si>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</si>
  <si>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</si>
  <si>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</si>
  <si>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</si>
  <si>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</si>
  <si>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</si>
  <si>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</si>
  <si>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</si>
  <si>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</si>
  <si>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</si>
  <si>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</si>
  <si>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</si>
  <si>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</si>
  <si>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</si>
  <si>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</si>
  <si>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</si>
  <si>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</si>
  <si>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</si>
  <si>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</si>
  <si>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</si>
  <si>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</si>
  <si>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</si>
  <si>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</si>
  <si>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</si>
  <si>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</si>
  <si>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</si>
  <si>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</si>
  <si>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</si>
  <si>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</si>
  <si>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</si>
  <si>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</si>
  <si>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</si>
  <si>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</si>
  <si>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</si>
  <si>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</si>
  <si>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</si>
  <si>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</si>
  <si>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</si>
  <si>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</si>
  <si>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</si>
  <si>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</si>
  <si>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</si>
  <si>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</si>
  <si>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</si>
  <si>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</si>
  <si>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</si>
  <si>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</si>
  <si>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</si>
  <si>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</si>
  <si>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</si>
  <si>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</si>
  <si>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</si>
  <si>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</si>
  <si>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</si>
  <si>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</si>
  <si>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</si>
  <si>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</si>
  <si>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</si>
  <si>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</si>
  <si>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</si>
  <si>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</si>
  <si>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</si>
  <si>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</si>
  <si>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</si>
  <si>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</si>
  <si>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</si>
  <si>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</si>
  <si>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</si>
  <si>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</si>
  <si>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</si>
  <si>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</si>
  <si>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</si>
  <si>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</si>
  <si>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</si>
  <si>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</si>
  <si>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</si>
  <si>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</si>
  <si>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</si>
  <si>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</si>
  <si>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</si>
  <si>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</si>
  <si>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</si>
  <si>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</si>
  <si>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</si>
  <si>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</si>
  <si>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</si>
  <si>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</si>
  <si>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</si>
  <si>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</si>
  <si>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</si>
  <si>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</si>
  <si>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</si>
  <si>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</si>
  <si>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</si>
  <si>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</si>
  <si>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</si>
  <si>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</si>
  <si>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</si>
  <si>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</si>
  <si>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</si>
  <si>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</si>
  <si>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</si>
  <si>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</si>
  <si>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</si>
  <si>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</si>
  <si>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</si>
  <si>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</si>
  <si>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</si>
  <si>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</si>
  <si>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</si>
  <si>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</si>
  <si>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</si>
  <si>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</si>
  <si>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</si>
  <si>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</si>
  <si>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</si>
  <si>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</si>
  <si>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</si>
  <si>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</si>
  <si>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</si>
  <si>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</si>
  <si>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</si>
  <si>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</si>
  <si>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</si>
  <si>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</si>
  <si>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</si>
  <si>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</si>
  <si>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</si>
  <si>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</si>
  <si>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</si>
  <si>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</si>
  <si>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</si>
  <si>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</si>
  <si>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</si>
  <si>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</si>
  <si>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</si>
  <si>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</si>
  <si>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</si>
  <si>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</si>
  <si>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</si>
  <si>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</si>
  <si>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</si>
  <si>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</si>
  <si>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</si>
  <si>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</si>
  <si>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</si>
  <si>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</si>
  <si>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</si>
  <si>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</si>
  <si>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</si>
  <si>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</si>
  <si>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</si>
  <si>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</si>
  <si>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</si>
  <si>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</si>
  <si>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</si>
  <si>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</si>
  <si>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</si>
  <si>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</si>
  <si>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</si>
  <si>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</si>
  <si>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</si>
  <si>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</si>
  <si>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</si>
  <si>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</si>
  <si>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</si>
  <si>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</si>
  <si>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</si>
  <si>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</si>
  <si>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</si>
  <si>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</si>
  <si>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</si>
  <si>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</si>
  <si>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</si>
  <si>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</si>
  <si>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</si>
  <si>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</si>
  <si>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</si>
  <si>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</si>
  <si>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</si>
  <si>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</si>
  <si>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</si>
  <si>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</si>
  <si>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</si>
  <si>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</si>
  <si>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</si>
  <si>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</si>
  <si>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</si>
  <si>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</si>
  <si>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</si>
  <si>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</si>
  <si>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</si>
  <si>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</si>
  <si>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</si>
  <si>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</si>
  <si>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</si>
  <si>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</si>
  <si>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</si>
  <si>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</si>
  <si>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</si>
  <si>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</si>
  <si>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</si>
  <si>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</si>
  <si>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</si>
  <si>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</si>
  <si>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</si>
  <si>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</si>
  <si>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</si>
  <si>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</si>
  <si>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</si>
  <si>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</si>
  <si>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</si>
  <si>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</si>
  <si>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</si>
  <si>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</si>
  <si>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</si>
  <si>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</si>
  <si>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</si>
  <si>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</si>
  <si>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</si>
  <si>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</si>
  <si>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</si>
  <si>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</si>
  <si>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</si>
  <si>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</si>
  <si>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</si>
  <si>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</si>
  <si>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</si>
  <si>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</si>
  <si>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</si>
  <si>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</si>
  <si>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</si>
  <si>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</si>
  <si>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</si>
  <si>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</si>
  <si>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</si>
  <si>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</si>
  <si>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</si>
  <si>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</si>
  <si>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</si>
  <si>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</si>
  <si>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</si>
  <si>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</si>
  <si>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</si>
  <si>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</si>
  <si>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</si>
  <si>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</si>
  <si>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</si>
  <si>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</si>
  <si>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</si>
  <si>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</si>
  <si>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</si>
  <si>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</si>
  <si>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</si>
  <si>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</si>
  <si>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</si>
  <si>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</si>
  <si>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</si>
  <si>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</si>
  <si>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</si>
  <si>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</si>
  <si>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</si>
  <si>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</si>
  <si>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</si>
  <si>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</si>
  <si>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</si>
  <si>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</si>
  <si>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</si>
  <si>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</si>
  <si>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</si>
  <si>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</si>
  <si>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</si>
  <si>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</si>
  <si>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</si>
  <si>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</si>
  <si>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</si>
  <si>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</si>
  <si>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</si>
  <si>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</si>
  <si>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</si>
  <si>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</si>
  <si>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</si>
  <si>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</si>
  <si>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</si>
  <si>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</si>
  <si>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</si>
  <si>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</si>
  <si>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</si>
  <si>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</si>
  <si>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</si>
  <si>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</si>
  <si>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</si>
  <si>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</si>
  <si>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</si>
  <si>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</si>
  <si>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</si>
  <si>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</si>
  <si>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</si>
  <si>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</si>
  <si>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</si>
  <si>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</si>
  <si>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</si>
  <si>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</si>
  <si>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</si>
  <si>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</si>
  <si>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</si>
  <si>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</si>
  <si>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</si>
  <si>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</si>
  <si>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</si>
  <si>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</si>
  <si>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</si>
  <si>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</si>
  <si>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</si>
  <si>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</si>
  <si>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</si>
  <si>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</si>
  <si>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</si>
  <si>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</si>
  <si>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</si>
  <si>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</si>
  <si>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</si>
  <si>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</si>
  <si>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</si>
  <si>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</si>
  <si>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</si>
  <si>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</si>
  <si>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</si>
  <si>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</si>
  <si>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</si>
  <si>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</si>
  <si>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</si>
  <si>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</si>
  <si>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</si>
  <si>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</si>
  <si>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</si>
  <si>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</si>
  <si>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</si>
  <si>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</si>
  <si>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</si>
  <si>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</si>
  <si>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</si>
  <si>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</si>
  <si>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</si>
  <si>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</si>
  <si>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</si>
  <si>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</si>
  <si>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</si>
  <si>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</si>
  <si>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</si>
  <si>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</si>
  <si>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</si>
  <si>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</si>
  <si>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</si>
  <si>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</si>
  <si>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</si>
  <si>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</si>
  <si>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</si>
  <si>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</si>
  <si>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</si>
  <si>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</si>
  <si>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</si>
  <si>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</si>
  <si>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</si>
  <si>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</si>
  <si>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</si>
  <si>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</si>
  <si>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</si>
  <si>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</si>
  <si>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</si>
  <si>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</si>
  <si>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</si>
  <si>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</si>
  <si>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</si>
  <si>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</si>
  <si>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</si>
  <si>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</si>
  <si>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</si>
  <si>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</si>
  <si>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</si>
  <si>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</si>
  <si>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</si>
  <si>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</si>
  <si>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</si>
  <si>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</si>
  <si>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</si>
  <si>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</si>
  <si>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</si>
  <si>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</si>
  <si>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</si>
  <si>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</si>
  <si>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</si>
  <si>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</si>
  <si>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</si>
  <si>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</si>
  <si>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</si>
  <si>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</si>
  <si>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</si>
  <si>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</si>
  <si>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</si>
  <si>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</si>
  <si>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</si>
  <si>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</si>
  <si>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</si>
  <si>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</si>
  <si>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</si>
  <si>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</si>
  <si>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</si>
  <si>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</si>
  <si>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</si>
  <si>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</si>
  <si>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</si>
  <si>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</si>
  <si>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</si>
  <si>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</si>
  <si>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</si>
  <si>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</si>
  <si>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</si>
  <si>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</si>
  <si>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</si>
  <si>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</si>
  <si>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</si>
  <si>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</si>
  <si>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41018</t>
  </si>
  <si>
    <t>GERAARDSBERGEN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</si>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</sst>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260607.41081003138</c:v>
                </c:pt>
                <c:pt idx="1">
                  <c:v>81775.788470154774</c:v>
                </c:pt>
                <c:pt idx="2">
                  <c:v>2132.3679999999999</c:v>
                </c:pt>
                <c:pt idx="3">
                  <c:v>10165.020728441959</c:v>
                </c:pt>
                <c:pt idx="4">
                  <c:v>22043.103434682282</c:v>
                </c:pt>
                <c:pt idx="5">
                  <c:v>147452.93534524049</c:v>
                </c:pt>
                <c:pt idx="6">
                  <c:v>2013.6905077203796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24320"/>
        <c:axId val="176825856"/>
      </c:barChart>
      <c:catAx>
        <c:axId val="176824320"/>
        <c:scaling>
          <c:orientation val="minMax"/>
        </c:scaling>
        <c:axPos val="b"/>
        <c:numFmt formatCode="General" sourceLinked="0"/>
        <c:tickLblPos val="nextTo"/>
        <c:crossAx val="176825856"/>
        <c:crosses val="autoZero"/>
        <c:auto val="1"/>
        <c:lblAlgn val="ctr"/>
        <c:lblOffset val="100"/>
      </c:catAx>
      <c:valAx>
        <c:axId val="176825856"/>
        <c:scaling>
          <c:orientation val="minMax"/>
        </c:scaling>
        <c:axPos val="l"/>
        <c:majorGridlines/>
        <c:numFmt formatCode="#,##0" sourceLinked="1"/>
        <c:tickLblPos val="nextTo"/>
        <c:crossAx val="176824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260607.41081003138</c:v>
                </c:pt>
                <c:pt idx="1">
                  <c:v>81775.788470154774</c:v>
                </c:pt>
                <c:pt idx="2">
                  <c:v>2132.3679999999999</c:v>
                </c:pt>
                <c:pt idx="3">
                  <c:v>10165.020728441959</c:v>
                </c:pt>
                <c:pt idx="4">
                  <c:v>22043.103434682282</c:v>
                </c:pt>
                <c:pt idx="5">
                  <c:v>147452.93534524049</c:v>
                </c:pt>
                <c:pt idx="6">
                  <c:v>2013.6905077203796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52543.846672005784</c:v>
                </c:pt>
                <c:pt idx="1">
                  <c:v>16259.31964571527</c:v>
                </c:pt>
                <c:pt idx="2">
                  <c:v>440.66467356534423</c:v>
                </c:pt>
                <c:pt idx="3">
                  <c:v>2330.155050808919</c:v>
                </c:pt>
                <c:pt idx="4">
                  <c:v>4435.9965242760018</c:v>
                </c:pt>
                <c:pt idx="5">
                  <c:v>36938.79099627251</c:v>
                </c:pt>
                <c:pt idx="6">
                  <c:v>508.64861768555471</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16128"/>
        <c:axId val="183566720"/>
      </c:barChart>
      <c:catAx>
        <c:axId val="177216128"/>
        <c:scaling>
          <c:orientation val="minMax"/>
        </c:scaling>
        <c:axPos val="b"/>
        <c:numFmt formatCode="General" sourceLinked="0"/>
        <c:tickLblPos val="nextTo"/>
        <c:crossAx val="183566720"/>
        <c:crosses val="autoZero"/>
        <c:auto val="1"/>
        <c:lblAlgn val="ctr"/>
        <c:lblOffset val="100"/>
      </c:catAx>
      <c:valAx>
        <c:axId val="183566720"/>
        <c:scaling>
          <c:orientation val="minMax"/>
        </c:scaling>
        <c:axPos val="l"/>
        <c:majorGridlines/>
        <c:numFmt formatCode="#,##0" sourceLinked="1"/>
        <c:tickLblPos val="nextTo"/>
        <c:crossAx val="177216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52543.846672005784</c:v>
                </c:pt>
                <c:pt idx="1">
                  <c:v>16259.31964571527</c:v>
                </c:pt>
                <c:pt idx="2">
                  <c:v>440.66467356534423</c:v>
                </c:pt>
                <c:pt idx="3">
                  <c:v>2330.155050808919</c:v>
                </c:pt>
                <c:pt idx="4">
                  <c:v>4435.9965242760018</c:v>
                </c:pt>
                <c:pt idx="5">
                  <c:v>36938.79099627251</c:v>
                </c:pt>
                <c:pt idx="6">
                  <c:v>508.64861768555471</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41018</v>
      </c>
      <c r="B6" s="416"/>
      <c r="C6" s="417"/>
    </row>
    <row r="7" spans="1:7" s="414" customFormat="1" ht="15.75" customHeight="1">
      <c r="A7" s="418" t="str">
        <f>txtMunicipality</f>
        <v>GERAARDSBERGEN</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36882.856400000004</v>
      </c>
      <c r="D10" s="719">
        <f ca="1">tertiair!C16</f>
        <v>0</v>
      </c>
      <c r="E10" s="719">
        <f ca="1">tertiair!D16</f>
        <v>37217.846027984589</v>
      </c>
      <c r="F10" s="719">
        <f>tertiair!E16</f>
        <v>414.81773502800297</v>
      </c>
      <c r="G10" s="719">
        <f ca="1">tertiair!F16</f>
        <v>5489.8361823763744</v>
      </c>
      <c r="H10" s="719">
        <f>tertiair!G16</f>
        <v>0</v>
      </c>
      <c r="I10" s="719">
        <f>tertiair!H16</f>
        <v>0</v>
      </c>
      <c r="J10" s="719">
        <f>tertiair!I16</f>
        <v>0</v>
      </c>
      <c r="K10" s="719">
        <f>tertiair!J16</f>
        <v>0</v>
      </c>
      <c r="L10" s="719">
        <f>tertiair!K16</f>
        <v>0</v>
      </c>
      <c r="M10" s="719">
        <f ca="1">tertiair!L16</f>
        <v>0</v>
      </c>
      <c r="N10" s="719">
        <f>tertiair!M16</f>
        <v>0</v>
      </c>
      <c r="O10" s="719">
        <f ca="1">tertiair!N16</f>
        <v>3899.673458099146</v>
      </c>
      <c r="P10" s="719">
        <f>tertiair!O16</f>
        <v>3.1266666666666669</v>
      </c>
      <c r="Q10" s="720">
        <f>tertiair!P16</f>
        <v>0</v>
      </c>
      <c r="R10" s="722">
        <f ca="1">SUM(C10:Q10)</f>
        <v>83908.156470154776</v>
      </c>
      <c r="S10" s="67"/>
    </row>
    <row r="11" spans="1:19" s="475" customFormat="1">
      <c r="A11" s="871" t="s">
        <v>225</v>
      </c>
      <c r="B11" s="876"/>
      <c r="C11" s="719">
        <f>huishoudens!B8</f>
        <v>60976.930237349414</v>
      </c>
      <c r="D11" s="719">
        <f>huishoudens!C8</f>
        <v>0</v>
      </c>
      <c r="E11" s="719">
        <f>huishoudens!D8</f>
        <v>101009.04791108541</v>
      </c>
      <c r="F11" s="719">
        <f>huishoudens!E8</f>
        <v>9497.0985561754005</v>
      </c>
      <c r="G11" s="719">
        <f>huishoudens!F8</f>
        <v>60581.171923451984</v>
      </c>
      <c r="H11" s="719">
        <f>huishoudens!G8</f>
        <v>0</v>
      </c>
      <c r="I11" s="719">
        <f>huishoudens!H8</f>
        <v>0</v>
      </c>
      <c r="J11" s="719">
        <f>huishoudens!I8</f>
        <v>0</v>
      </c>
      <c r="K11" s="719">
        <f>huishoudens!J8</f>
        <v>3411.8997039754249</v>
      </c>
      <c r="L11" s="719">
        <f>huishoudens!K8</f>
        <v>0</v>
      </c>
      <c r="M11" s="719">
        <f>huishoudens!L8</f>
        <v>0</v>
      </c>
      <c r="N11" s="719">
        <f>huishoudens!M8</f>
        <v>0</v>
      </c>
      <c r="O11" s="719">
        <f>huishoudens!N8</f>
        <v>24010.31581132708</v>
      </c>
      <c r="P11" s="719">
        <f>huishoudens!O8</f>
        <v>243.88000000000002</v>
      </c>
      <c r="Q11" s="720">
        <f>huishoudens!P8</f>
        <v>877.06666666666661</v>
      </c>
      <c r="R11" s="722">
        <f>SUM(C11:Q11)</f>
        <v>260607.41081003138</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7471.98783</v>
      </c>
      <c r="D13" s="719">
        <f>industrie!C18</f>
        <v>0</v>
      </c>
      <c r="E13" s="719">
        <f>industrie!D18</f>
        <v>6615.7860771190017</v>
      </c>
      <c r="F13" s="719">
        <f>industrie!E18</f>
        <v>833.69827274308841</v>
      </c>
      <c r="G13" s="719">
        <f>industrie!F18</f>
        <v>5060.344182558606</v>
      </c>
      <c r="H13" s="719">
        <f>industrie!G18</f>
        <v>0</v>
      </c>
      <c r="I13" s="719">
        <f>industrie!H18</f>
        <v>0</v>
      </c>
      <c r="J13" s="719">
        <f>industrie!I18</f>
        <v>0</v>
      </c>
      <c r="K13" s="719">
        <f>industrie!J18</f>
        <v>42.717826337667319</v>
      </c>
      <c r="L13" s="719">
        <f>industrie!K18</f>
        <v>0</v>
      </c>
      <c r="M13" s="719">
        <f>industrie!L18</f>
        <v>0</v>
      </c>
      <c r="N13" s="719">
        <f>industrie!M18</f>
        <v>0</v>
      </c>
      <c r="O13" s="719">
        <f>industrie!N18</f>
        <v>2018.5692459239217</v>
      </c>
      <c r="P13" s="719">
        <f>industrie!O18</f>
        <v>0</v>
      </c>
      <c r="Q13" s="720">
        <f>industrie!P18</f>
        <v>0</v>
      </c>
      <c r="R13" s="722">
        <f>SUM(C13:Q13)</f>
        <v>22043.103434682282</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105331.77446734942</v>
      </c>
      <c r="D15" s="724">
        <f t="shared" ref="D15:Q15" ca="1" si="0">SUM(D9:D14)</f>
        <v>0</v>
      </c>
      <c r="E15" s="724">
        <f t="shared" ca="1" si="0"/>
        <v>144842.680016189</v>
      </c>
      <c r="F15" s="724">
        <f t="shared" si="0"/>
        <v>10745.614563946492</v>
      </c>
      <c r="G15" s="724">
        <f t="shared" ca="1" si="0"/>
        <v>71131.352288386959</v>
      </c>
      <c r="H15" s="724">
        <f t="shared" si="0"/>
        <v>0</v>
      </c>
      <c r="I15" s="724">
        <f t="shared" si="0"/>
        <v>0</v>
      </c>
      <c r="J15" s="724">
        <f t="shared" si="0"/>
        <v>0</v>
      </c>
      <c r="K15" s="724">
        <f t="shared" si="0"/>
        <v>3454.6175303130922</v>
      </c>
      <c r="L15" s="724">
        <f t="shared" si="0"/>
        <v>0</v>
      </c>
      <c r="M15" s="724">
        <f t="shared" ca="1" si="0"/>
        <v>0</v>
      </c>
      <c r="N15" s="724">
        <f t="shared" si="0"/>
        <v>0</v>
      </c>
      <c r="O15" s="724">
        <f t="shared" ca="1" si="0"/>
        <v>29928.558515350149</v>
      </c>
      <c r="P15" s="724">
        <f t="shared" si="0"/>
        <v>247.00666666666669</v>
      </c>
      <c r="Q15" s="725">
        <f t="shared" si="0"/>
        <v>877.06666666666661</v>
      </c>
      <c r="R15" s="726">
        <f ca="1">SUM(R9:R14)</f>
        <v>366558.67071486847</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1905.0510025676206</v>
      </c>
      <c r="I18" s="719">
        <f>transport!H54</f>
        <v>0</v>
      </c>
      <c r="J18" s="719">
        <f>transport!I54</f>
        <v>0</v>
      </c>
      <c r="K18" s="719">
        <f>transport!J54</f>
        <v>0</v>
      </c>
      <c r="L18" s="719">
        <f>transport!K54</f>
        <v>0</v>
      </c>
      <c r="M18" s="719">
        <f>transport!L54</f>
        <v>0</v>
      </c>
      <c r="N18" s="719">
        <f>transport!M54</f>
        <v>108.63950515275897</v>
      </c>
      <c r="O18" s="719">
        <f>transport!N54</f>
        <v>0</v>
      </c>
      <c r="P18" s="719">
        <f>transport!O54</f>
        <v>0</v>
      </c>
      <c r="Q18" s="720">
        <f>transport!P54</f>
        <v>0</v>
      </c>
      <c r="R18" s="722">
        <f>SUM(C18:Q18)</f>
        <v>2013.6905077203796</v>
      </c>
      <c r="S18" s="67"/>
    </row>
    <row r="19" spans="1:19" s="475" customFormat="1" ht="15" thickBot="1">
      <c r="A19" s="871" t="s">
        <v>307</v>
      </c>
      <c r="B19" s="876"/>
      <c r="C19" s="728">
        <f>transport!B14</f>
        <v>21.822361835248511</v>
      </c>
      <c r="D19" s="728">
        <f>transport!C14</f>
        <v>0</v>
      </c>
      <c r="E19" s="728">
        <f>transport!D14</f>
        <v>62.923559098981052</v>
      </c>
      <c r="F19" s="728">
        <f>transport!E14</f>
        <v>395.34292859638276</v>
      </c>
      <c r="G19" s="728">
        <f>transport!F14</f>
        <v>0</v>
      </c>
      <c r="H19" s="728">
        <f>transport!G14</f>
        <v>115897.17177579972</v>
      </c>
      <c r="I19" s="728">
        <f>transport!H14</f>
        <v>23643.706933878759</v>
      </c>
      <c r="J19" s="728">
        <f>transport!I14</f>
        <v>0</v>
      </c>
      <c r="K19" s="728">
        <f>transport!J14</f>
        <v>0</v>
      </c>
      <c r="L19" s="728">
        <f>transport!K14</f>
        <v>0</v>
      </c>
      <c r="M19" s="728">
        <f>transport!L14</f>
        <v>0</v>
      </c>
      <c r="N19" s="728">
        <f>transport!M14</f>
        <v>7431.9677860313923</v>
      </c>
      <c r="O19" s="728">
        <f>transport!N14</f>
        <v>0</v>
      </c>
      <c r="P19" s="728">
        <f>transport!O14</f>
        <v>0</v>
      </c>
      <c r="Q19" s="729">
        <f>transport!P14</f>
        <v>0</v>
      </c>
      <c r="R19" s="730">
        <f>SUM(C19:Q19)</f>
        <v>147452.93534524049</v>
      </c>
      <c r="S19" s="67"/>
    </row>
    <row r="20" spans="1:19" s="475" customFormat="1" ht="15.75" thickBot="1">
      <c r="A20" s="731" t="s">
        <v>230</v>
      </c>
      <c r="B20" s="879"/>
      <c r="C20" s="874">
        <f>SUM(C17:C19)</f>
        <v>21.822361835248511</v>
      </c>
      <c r="D20" s="732">
        <f t="shared" ref="D20:R20" si="1">SUM(D17:D19)</f>
        <v>0</v>
      </c>
      <c r="E20" s="732">
        <f t="shared" si="1"/>
        <v>62.923559098981052</v>
      </c>
      <c r="F20" s="732">
        <f t="shared" si="1"/>
        <v>395.34292859638276</v>
      </c>
      <c r="G20" s="732">
        <f t="shared" si="1"/>
        <v>0</v>
      </c>
      <c r="H20" s="732">
        <f t="shared" si="1"/>
        <v>117802.22277836734</v>
      </c>
      <c r="I20" s="732">
        <f t="shared" si="1"/>
        <v>23643.706933878759</v>
      </c>
      <c r="J20" s="732">
        <f t="shared" si="1"/>
        <v>0</v>
      </c>
      <c r="K20" s="732">
        <f t="shared" si="1"/>
        <v>0</v>
      </c>
      <c r="L20" s="732">
        <f t="shared" si="1"/>
        <v>0</v>
      </c>
      <c r="M20" s="732">
        <f t="shared" si="1"/>
        <v>0</v>
      </c>
      <c r="N20" s="732">
        <f t="shared" si="1"/>
        <v>7540.6072911841511</v>
      </c>
      <c r="O20" s="732">
        <f t="shared" si="1"/>
        <v>0</v>
      </c>
      <c r="P20" s="732">
        <f t="shared" si="1"/>
        <v>0</v>
      </c>
      <c r="Q20" s="733">
        <f t="shared" si="1"/>
        <v>0</v>
      </c>
      <c r="R20" s="734">
        <f t="shared" si="1"/>
        <v>149466.62585296086</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1433.5078999999998</v>
      </c>
      <c r="D22" s="728">
        <f>+landbouw!C8</f>
        <v>0</v>
      </c>
      <c r="E22" s="728">
        <f>+landbouw!D8</f>
        <v>4861.3796935242981</v>
      </c>
      <c r="F22" s="728">
        <f>+landbouw!E8</f>
        <v>13.277750578099205</v>
      </c>
      <c r="G22" s="728">
        <f>+landbouw!F8</f>
        <v>3637.082625274707</v>
      </c>
      <c r="H22" s="728">
        <f>+landbouw!G8</f>
        <v>0</v>
      </c>
      <c r="I22" s="728">
        <f>+landbouw!H8</f>
        <v>0</v>
      </c>
      <c r="J22" s="728">
        <f>+landbouw!I8</f>
        <v>0</v>
      </c>
      <c r="K22" s="728">
        <f>+landbouw!J8</f>
        <v>219.77275906485568</v>
      </c>
      <c r="L22" s="728">
        <f>+landbouw!K8</f>
        <v>0</v>
      </c>
      <c r="M22" s="728">
        <f>+landbouw!L8</f>
        <v>0</v>
      </c>
      <c r="N22" s="728">
        <f>+landbouw!M8</f>
        <v>0</v>
      </c>
      <c r="O22" s="728">
        <f>+landbouw!N8</f>
        <v>0</v>
      </c>
      <c r="P22" s="728">
        <f>+landbouw!O8</f>
        <v>0</v>
      </c>
      <c r="Q22" s="729">
        <f>+landbouw!P8</f>
        <v>0</v>
      </c>
      <c r="R22" s="730">
        <f>SUM(C22:Q22)</f>
        <v>10165.020728441959</v>
      </c>
      <c r="S22" s="67"/>
    </row>
    <row r="23" spans="1:19" s="475" customFormat="1" ht="17.25" thickTop="1" thickBot="1">
      <c r="A23" s="735" t="s">
        <v>116</v>
      </c>
      <c r="B23" s="865"/>
      <c r="C23" s="736">
        <f ca="1">C20+C15+C22</f>
        <v>106787.10472918466</v>
      </c>
      <c r="D23" s="736">
        <f t="shared" ref="D23:Q23" ca="1" si="2">D20+D15+D22</f>
        <v>0</v>
      </c>
      <c r="E23" s="736">
        <f t="shared" ca="1" si="2"/>
        <v>149766.98326881227</v>
      </c>
      <c r="F23" s="736">
        <f t="shared" si="2"/>
        <v>11154.235243120975</v>
      </c>
      <c r="G23" s="736">
        <f t="shared" ca="1" si="2"/>
        <v>74768.434913661666</v>
      </c>
      <c r="H23" s="736">
        <f t="shared" si="2"/>
        <v>117802.22277836734</v>
      </c>
      <c r="I23" s="736">
        <f t="shared" si="2"/>
        <v>23643.706933878759</v>
      </c>
      <c r="J23" s="736">
        <f t="shared" si="2"/>
        <v>0</v>
      </c>
      <c r="K23" s="736">
        <f t="shared" si="2"/>
        <v>3674.3902893779477</v>
      </c>
      <c r="L23" s="736">
        <f t="shared" si="2"/>
        <v>0</v>
      </c>
      <c r="M23" s="736">
        <f t="shared" ca="1" si="2"/>
        <v>0</v>
      </c>
      <c r="N23" s="736">
        <f t="shared" si="2"/>
        <v>7540.6072911841511</v>
      </c>
      <c r="O23" s="736">
        <f t="shared" ca="1" si="2"/>
        <v>29928.558515350149</v>
      </c>
      <c r="P23" s="736">
        <f t="shared" si="2"/>
        <v>247.00666666666669</v>
      </c>
      <c r="Q23" s="737">
        <f t="shared" si="2"/>
        <v>877.06666666666661</v>
      </c>
      <c r="R23" s="738">
        <f ca="1">R20+R15+R22</f>
        <v>526190.31729627133</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7622.029535081876</v>
      </c>
      <c r="D36" s="719">
        <f ca="1">tertiair!C20</f>
        <v>0</v>
      </c>
      <c r="E36" s="719">
        <f ca="1">tertiair!D20</f>
        <v>7518.0048976528878</v>
      </c>
      <c r="F36" s="719">
        <f>tertiair!E20</f>
        <v>94.163625851356684</v>
      </c>
      <c r="G36" s="719">
        <f ca="1">tertiair!F20</f>
        <v>1465.7862606944921</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16699.984319280611</v>
      </c>
    </row>
    <row r="37" spans="1:18">
      <c r="A37" s="886" t="s">
        <v>225</v>
      </c>
      <c r="B37" s="893"/>
      <c r="C37" s="719">
        <f ca="1">huishoudens!B12</f>
        <v>12601.192222945734</v>
      </c>
      <c r="D37" s="719">
        <f ca="1">huishoudens!C12</f>
        <v>0</v>
      </c>
      <c r="E37" s="719">
        <f>huishoudens!D12</f>
        <v>20403.827678039255</v>
      </c>
      <c r="F37" s="719">
        <f>huishoudens!E12</f>
        <v>2155.8413722518162</v>
      </c>
      <c r="G37" s="719">
        <f>huishoudens!F12</f>
        <v>16175.172903561681</v>
      </c>
      <c r="H37" s="719">
        <f>huishoudens!G12</f>
        <v>0</v>
      </c>
      <c r="I37" s="719">
        <f>huishoudens!H12</f>
        <v>0</v>
      </c>
      <c r="J37" s="719">
        <f>huishoudens!I12</f>
        <v>0</v>
      </c>
      <c r="K37" s="719">
        <f>huishoudens!J12</f>
        <v>1207.8124952073003</v>
      </c>
      <c r="L37" s="719">
        <f>huishoudens!K12</f>
        <v>0</v>
      </c>
      <c r="M37" s="719">
        <f>huishoudens!L12</f>
        <v>0</v>
      </c>
      <c r="N37" s="719">
        <f>huishoudens!M12</f>
        <v>0</v>
      </c>
      <c r="O37" s="719">
        <f>huishoudens!N12</f>
        <v>0</v>
      </c>
      <c r="P37" s="719">
        <f>huishoudens!O12</f>
        <v>0</v>
      </c>
      <c r="Q37" s="829">
        <f>huishoudens!P12</f>
        <v>0</v>
      </c>
      <c r="R37" s="918">
        <f ca="1">SUM(C37:Q37)</f>
        <v>52543.846672005784</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1544.1242215186005</v>
      </c>
      <c r="D39" s="719">
        <f ca="1">industrie!C22</f>
        <v>0</v>
      </c>
      <c r="E39" s="719">
        <f>industrie!D22</f>
        <v>1336.3887875780383</v>
      </c>
      <c r="F39" s="719">
        <f>industrie!E22</f>
        <v>189.24950791268108</v>
      </c>
      <c r="G39" s="719">
        <f>industrie!F22</f>
        <v>1351.1118967431478</v>
      </c>
      <c r="H39" s="719">
        <f>industrie!G22</f>
        <v>0</v>
      </c>
      <c r="I39" s="719">
        <f>industrie!H22</f>
        <v>0</v>
      </c>
      <c r="J39" s="719">
        <f>industrie!I22</f>
        <v>0</v>
      </c>
      <c r="K39" s="719">
        <f>industrie!J22</f>
        <v>15.12211052353423</v>
      </c>
      <c r="L39" s="719">
        <f>industrie!K22</f>
        <v>0</v>
      </c>
      <c r="M39" s="719">
        <f>industrie!L22</f>
        <v>0</v>
      </c>
      <c r="N39" s="719">
        <f>industrie!M22</f>
        <v>0</v>
      </c>
      <c r="O39" s="719">
        <f>industrie!N22</f>
        <v>0</v>
      </c>
      <c r="P39" s="719">
        <f>industrie!O22</f>
        <v>0</v>
      </c>
      <c r="Q39" s="829">
        <f>industrie!P22</f>
        <v>0</v>
      </c>
      <c r="R39" s="919">
        <f ca="1">SUM(C39:Q39)</f>
        <v>4435.9965242760018</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21767.345979546211</v>
      </c>
      <c r="D41" s="764">
        <f t="shared" ref="D41:R41" ca="1" si="4">SUM(D35:D40)</f>
        <v>0</v>
      </c>
      <c r="E41" s="764">
        <f t="shared" ca="1" si="4"/>
        <v>29258.221363270182</v>
      </c>
      <c r="F41" s="764">
        <f t="shared" si="4"/>
        <v>2439.2545060158541</v>
      </c>
      <c r="G41" s="764">
        <f t="shared" ca="1" si="4"/>
        <v>18992.071060999318</v>
      </c>
      <c r="H41" s="764">
        <f t="shared" si="4"/>
        <v>0</v>
      </c>
      <c r="I41" s="764">
        <f t="shared" si="4"/>
        <v>0</v>
      </c>
      <c r="J41" s="764">
        <f t="shared" si="4"/>
        <v>0</v>
      </c>
      <c r="K41" s="764">
        <f t="shared" si="4"/>
        <v>1222.9346057308346</v>
      </c>
      <c r="L41" s="764">
        <f t="shared" si="4"/>
        <v>0</v>
      </c>
      <c r="M41" s="764">
        <f t="shared" ca="1" si="4"/>
        <v>0</v>
      </c>
      <c r="N41" s="764">
        <f t="shared" si="4"/>
        <v>0</v>
      </c>
      <c r="O41" s="764">
        <f t="shared" ca="1" si="4"/>
        <v>0</v>
      </c>
      <c r="P41" s="764">
        <f t="shared" si="4"/>
        <v>0</v>
      </c>
      <c r="Q41" s="765">
        <f t="shared" si="4"/>
        <v>0</v>
      </c>
      <c r="R41" s="766">
        <f t="shared" ca="1" si="4"/>
        <v>73679.8275155624</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508.64861768555471</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508.64861768555471</v>
      </c>
    </row>
    <row r="45" spans="1:18" ht="15" thickBot="1">
      <c r="A45" s="889" t="s">
        <v>307</v>
      </c>
      <c r="B45" s="899"/>
      <c r="C45" s="728">
        <f ca="1">transport!B18</f>
        <v>4.509701868793103</v>
      </c>
      <c r="D45" s="728">
        <f>transport!C18</f>
        <v>0</v>
      </c>
      <c r="E45" s="728">
        <f>transport!D18</f>
        <v>12.710558937994174</v>
      </c>
      <c r="F45" s="728">
        <f>transport!E18</f>
        <v>89.742844791378886</v>
      </c>
      <c r="G45" s="728">
        <f>transport!F18</f>
        <v>0</v>
      </c>
      <c r="H45" s="728">
        <f>transport!G18</f>
        <v>30944.54486413853</v>
      </c>
      <c r="I45" s="728">
        <f>transport!H18</f>
        <v>5887.2830265358107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36938.79099627251</v>
      </c>
    </row>
    <row r="46" spans="1:18" ht="15.75" thickBot="1">
      <c r="A46" s="887" t="s">
        <v>230</v>
      </c>
      <c r="B46" s="900"/>
      <c r="C46" s="764">
        <f t="shared" ref="C46:R46" ca="1" si="5">SUM(C43:C45)</f>
        <v>4.509701868793103</v>
      </c>
      <c r="D46" s="764">
        <f t="shared" ca="1" si="5"/>
        <v>0</v>
      </c>
      <c r="E46" s="764">
        <f t="shared" si="5"/>
        <v>12.710558937994174</v>
      </c>
      <c r="F46" s="764">
        <f t="shared" si="5"/>
        <v>89.742844791378886</v>
      </c>
      <c r="G46" s="764">
        <f t="shared" si="5"/>
        <v>0</v>
      </c>
      <c r="H46" s="764">
        <f t="shared" si="5"/>
        <v>31453.193481824084</v>
      </c>
      <c r="I46" s="764">
        <f t="shared" si="5"/>
        <v>5887.2830265358107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37447.439613958064</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296.24168567847676</v>
      </c>
      <c r="D48" s="719">
        <f ca="1">+landbouw!C12</f>
        <v>0</v>
      </c>
      <c r="E48" s="719">
        <f>+landbouw!D12</f>
        <v>981.9986980919083</v>
      </c>
      <c r="F48" s="719">
        <f>+landbouw!E12</f>
        <v>3.0140493812285198</v>
      </c>
      <c r="G48" s="719">
        <f>+landbouw!F12</f>
        <v>971.1010609483468</v>
      </c>
      <c r="H48" s="719">
        <f>+landbouw!G12</f>
        <v>0</v>
      </c>
      <c r="I48" s="719">
        <f>+landbouw!H12</f>
        <v>0</v>
      </c>
      <c r="J48" s="719">
        <f>+landbouw!I12</f>
        <v>0</v>
      </c>
      <c r="K48" s="719">
        <f>+landbouw!J12</f>
        <v>77.799556708958903</v>
      </c>
      <c r="L48" s="719">
        <f>+landbouw!K12</f>
        <v>0</v>
      </c>
      <c r="M48" s="719">
        <f>+landbouw!L12</f>
        <v>0</v>
      </c>
      <c r="N48" s="719">
        <f>+landbouw!M12</f>
        <v>0</v>
      </c>
      <c r="O48" s="719">
        <f>+landbouw!N12</f>
        <v>0</v>
      </c>
      <c r="P48" s="719">
        <f>+landbouw!O12</f>
        <v>0</v>
      </c>
      <c r="Q48" s="720">
        <f>+landbouw!P12</f>
        <v>0</v>
      </c>
      <c r="R48" s="762">
        <f ca="1">SUM(C48:Q48)</f>
        <v>2330.155050808919</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22068.09736709348</v>
      </c>
      <c r="D53" s="774">
        <f t="shared" ref="D53:Q53" ca="1" si="6">D41+D46+D48</f>
        <v>0</v>
      </c>
      <c r="E53" s="774">
        <f t="shared" ca="1" si="6"/>
        <v>30252.930620300085</v>
      </c>
      <c r="F53" s="774">
        <f t="shared" si="6"/>
        <v>2532.0114001884617</v>
      </c>
      <c r="G53" s="774">
        <f t="shared" ca="1" si="6"/>
        <v>19963.172121947664</v>
      </c>
      <c r="H53" s="774">
        <f t="shared" si="6"/>
        <v>31453.193481824084</v>
      </c>
      <c r="I53" s="774">
        <f t="shared" si="6"/>
        <v>5887.2830265358107</v>
      </c>
      <c r="J53" s="774">
        <f t="shared" si="6"/>
        <v>0</v>
      </c>
      <c r="K53" s="774">
        <f t="shared" si="6"/>
        <v>1300.7341624397936</v>
      </c>
      <c r="L53" s="774">
        <f t="shared" si="6"/>
        <v>0</v>
      </c>
      <c r="M53" s="774">
        <f t="shared" ca="1" si="6"/>
        <v>0</v>
      </c>
      <c r="N53" s="774">
        <f t="shared" si="6"/>
        <v>0</v>
      </c>
      <c r="O53" s="774">
        <f t="shared" ca="1" si="6"/>
        <v>0</v>
      </c>
      <c r="P53" s="774">
        <f>P41+P46+P48</f>
        <v>0</v>
      </c>
      <c r="Q53" s="775">
        <f t="shared" si="6"/>
        <v>0</v>
      </c>
      <c r="R53" s="776">
        <f ca="1">R41+R46+R48</f>
        <v>113457.42218032938</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0.20665507715616829</v>
      </c>
      <c r="D55" s="837">
        <f t="shared" ca="1" si="7"/>
        <v>0</v>
      </c>
      <c r="E55" s="837">
        <f t="shared" ca="1" si="7"/>
        <v>0.20200000000000004</v>
      </c>
      <c r="F55" s="837">
        <f t="shared" si="7"/>
        <v>0.22700000000000004</v>
      </c>
      <c r="G55" s="837">
        <f t="shared" ca="1" si="7"/>
        <v>0.26700000000000002</v>
      </c>
      <c r="H55" s="837">
        <f t="shared" si="7"/>
        <v>0.26700000000000002</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6931.460534191543</v>
      </c>
      <c r="C66" s="796">
        <f>'lokale energieproductie'!B6</f>
        <v>6931.460534191543</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6931.460534191543</v>
      </c>
      <c r="C69" s="804">
        <f>SUM(C64:C68)</f>
        <v>6931.460534191543</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60976.930237349414</v>
      </c>
      <c r="C4" s="479">
        <f>huishoudens!C8</f>
        <v>0</v>
      </c>
      <c r="D4" s="479">
        <f>huishoudens!D8</f>
        <v>101009.04791108541</v>
      </c>
      <c r="E4" s="479">
        <f>huishoudens!E8</f>
        <v>9497.0985561754005</v>
      </c>
      <c r="F4" s="479">
        <f>huishoudens!F8</f>
        <v>60581.171923451984</v>
      </c>
      <c r="G4" s="479">
        <f>huishoudens!G8</f>
        <v>0</v>
      </c>
      <c r="H4" s="479">
        <f>huishoudens!H8</f>
        <v>0</v>
      </c>
      <c r="I4" s="479">
        <f>huishoudens!I8</f>
        <v>0</v>
      </c>
      <c r="J4" s="479">
        <f>huishoudens!J8</f>
        <v>3411.8997039754249</v>
      </c>
      <c r="K4" s="479">
        <f>huishoudens!K8</f>
        <v>0</v>
      </c>
      <c r="L4" s="479">
        <f>huishoudens!L8</f>
        <v>0</v>
      </c>
      <c r="M4" s="479">
        <f>huishoudens!M8</f>
        <v>0</v>
      </c>
      <c r="N4" s="479">
        <f>huishoudens!N8</f>
        <v>24010.31581132708</v>
      </c>
      <c r="O4" s="479">
        <f>huishoudens!O8</f>
        <v>243.88000000000002</v>
      </c>
      <c r="P4" s="480">
        <f>huishoudens!P8</f>
        <v>877.06666666666661</v>
      </c>
      <c r="Q4" s="481">
        <f>SUM(B4:P4)</f>
        <v>260607.41081003138</v>
      </c>
    </row>
    <row r="5" spans="1:17">
      <c r="A5" s="478" t="s">
        <v>156</v>
      </c>
      <c r="B5" s="479">
        <f ca="1">tertiair!B16</f>
        <v>34750.488400000002</v>
      </c>
      <c r="C5" s="479">
        <f ca="1">tertiair!C16</f>
        <v>0</v>
      </c>
      <c r="D5" s="479">
        <f ca="1">tertiair!D16</f>
        <v>37217.846027984589</v>
      </c>
      <c r="E5" s="479">
        <f>tertiair!E16</f>
        <v>414.81773502800297</v>
      </c>
      <c r="F5" s="479">
        <f ca="1">tertiair!F16</f>
        <v>5489.8361823763744</v>
      </c>
      <c r="G5" s="479">
        <f>tertiair!G16</f>
        <v>0</v>
      </c>
      <c r="H5" s="479">
        <f>tertiair!H16</f>
        <v>0</v>
      </c>
      <c r="I5" s="479">
        <f>tertiair!I16</f>
        <v>0</v>
      </c>
      <c r="J5" s="479">
        <f>tertiair!J16</f>
        <v>0</v>
      </c>
      <c r="K5" s="479">
        <f>tertiair!K16</f>
        <v>0</v>
      </c>
      <c r="L5" s="479">
        <f ca="1">tertiair!L16</f>
        <v>0</v>
      </c>
      <c r="M5" s="479">
        <f>tertiair!M16</f>
        <v>0</v>
      </c>
      <c r="N5" s="479">
        <f ca="1">tertiair!N16</f>
        <v>3899.673458099146</v>
      </c>
      <c r="O5" s="479">
        <f>tertiair!O16</f>
        <v>3.1266666666666669</v>
      </c>
      <c r="P5" s="480">
        <f>tertiair!P16</f>
        <v>0</v>
      </c>
      <c r="Q5" s="478">
        <f t="shared" ref="Q5:Q13" ca="1" si="0">SUM(B5:P5)</f>
        <v>81775.788470154774</v>
      </c>
    </row>
    <row r="6" spans="1:17">
      <c r="A6" s="478" t="s">
        <v>194</v>
      </c>
      <c r="B6" s="479">
        <f>'openbare verlichting'!B8</f>
        <v>2132.3679999999999</v>
      </c>
      <c r="C6" s="479"/>
      <c r="D6" s="479"/>
      <c r="E6" s="479"/>
      <c r="F6" s="479"/>
      <c r="G6" s="479"/>
      <c r="H6" s="479"/>
      <c r="I6" s="479"/>
      <c r="J6" s="479"/>
      <c r="K6" s="479"/>
      <c r="L6" s="479"/>
      <c r="M6" s="479"/>
      <c r="N6" s="479"/>
      <c r="O6" s="479"/>
      <c r="P6" s="480"/>
      <c r="Q6" s="478">
        <f t="shared" si="0"/>
        <v>2132.3679999999999</v>
      </c>
    </row>
    <row r="7" spans="1:17">
      <c r="A7" s="478" t="s">
        <v>112</v>
      </c>
      <c r="B7" s="479">
        <f>landbouw!B8</f>
        <v>1433.5078999999998</v>
      </c>
      <c r="C7" s="479">
        <f>landbouw!C8</f>
        <v>0</v>
      </c>
      <c r="D7" s="479">
        <f>landbouw!D8</f>
        <v>4861.3796935242981</v>
      </c>
      <c r="E7" s="479">
        <f>landbouw!E8</f>
        <v>13.277750578099205</v>
      </c>
      <c r="F7" s="479">
        <f>landbouw!F8</f>
        <v>3637.082625274707</v>
      </c>
      <c r="G7" s="479">
        <f>landbouw!G8</f>
        <v>0</v>
      </c>
      <c r="H7" s="479">
        <f>landbouw!H8</f>
        <v>0</v>
      </c>
      <c r="I7" s="479">
        <f>landbouw!I8</f>
        <v>0</v>
      </c>
      <c r="J7" s="479">
        <f>landbouw!J8</f>
        <v>219.77275906485568</v>
      </c>
      <c r="K7" s="479">
        <f>landbouw!K8</f>
        <v>0</v>
      </c>
      <c r="L7" s="479">
        <f>landbouw!L8</f>
        <v>0</v>
      </c>
      <c r="M7" s="479">
        <f>landbouw!M8</f>
        <v>0</v>
      </c>
      <c r="N7" s="479">
        <f>landbouw!N8</f>
        <v>0</v>
      </c>
      <c r="O7" s="479">
        <f>landbouw!O8</f>
        <v>0</v>
      </c>
      <c r="P7" s="480">
        <f>landbouw!P8</f>
        <v>0</v>
      </c>
      <c r="Q7" s="478">
        <f t="shared" si="0"/>
        <v>10165.020728441959</v>
      </c>
    </row>
    <row r="8" spans="1:17">
      <c r="A8" s="478" t="s">
        <v>650</v>
      </c>
      <c r="B8" s="479">
        <f>industrie!B18</f>
        <v>7471.98783</v>
      </c>
      <c r="C8" s="479">
        <f>industrie!C18</f>
        <v>0</v>
      </c>
      <c r="D8" s="479">
        <f>industrie!D18</f>
        <v>6615.7860771190017</v>
      </c>
      <c r="E8" s="479">
        <f>industrie!E18</f>
        <v>833.69827274308841</v>
      </c>
      <c r="F8" s="479">
        <f>industrie!F18</f>
        <v>5060.344182558606</v>
      </c>
      <c r="G8" s="479">
        <f>industrie!G18</f>
        <v>0</v>
      </c>
      <c r="H8" s="479">
        <f>industrie!H18</f>
        <v>0</v>
      </c>
      <c r="I8" s="479">
        <f>industrie!I18</f>
        <v>0</v>
      </c>
      <c r="J8" s="479">
        <f>industrie!J18</f>
        <v>42.717826337667319</v>
      </c>
      <c r="K8" s="479">
        <f>industrie!K18</f>
        <v>0</v>
      </c>
      <c r="L8" s="479">
        <f>industrie!L18</f>
        <v>0</v>
      </c>
      <c r="M8" s="479">
        <f>industrie!M18</f>
        <v>0</v>
      </c>
      <c r="N8" s="479">
        <f>industrie!N18</f>
        <v>2018.5692459239217</v>
      </c>
      <c r="O8" s="479">
        <f>industrie!O18</f>
        <v>0</v>
      </c>
      <c r="P8" s="480">
        <f>industrie!P18</f>
        <v>0</v>
      </c>
      <c r="Q8" s="478">
        <f t="shared" si="0"/>
        <v>22043.103434682282</v>
      </c>
    </row>
    <row r="9" spans="1:17" s="484" customFormat="1">
      <c r="A9" s="482" t="s">
        <v>571</v>
      </c>
      <c r="B9" s="483">
        <f>transport!B14</f>
        <v>21.822361835248511</v>
      </c>
      <c r="C9" s="483">
        <f>transport!C14</f>
        <v>0</v>
      </c>
      <c r="D9" s="483">
        <f>transport!D14</f>
        <v>62.923559098981052</v>
      </c>
      <c r="E9" s="483">
        <f>transport!E14</f>
        <v>395.34292859638276</v>
      </c>
      <c r="F9" s="483">
        <f>transport!F14</f>
        <v>0</v>
      </c>
      <c r="G9" s="483">
        <f>transport!G14</f>
        <v>115897.17177579972</v>
      </c>
      <c r="H9" s="483">
        <f>transport!H14</f>
        <v>23643.706933878759</v>
      </c>
      <c r="I9" s="483">
        <f>transport!I14</f>
        <v>0</v>
      </c>
      <c r="J9" s="483">
        <f>transport!J14</f>
        <v>0</v>
      </c>
      <c r="K9" s="483">
        <f>transport!K14</f>
        <v>0</v>
      </c>
      <c r="L9" s="483">
        <f>transport!L14</f>
        <v>0</v>
      </c>
      <c r="M9" s="483">
        <f>transport!M14</f>
        <v>7431.9677860313923</v>
      </c>
      <c r="N9" s="483">
        <f>transport!N14</f>
        <v>0</v>
      </c>
      <c r="O9" s="483">
        <f>transport!O14</f>
        <v>0</v>
      </c>
      <c r="P9" s="483">
        <f>transport!P14</f>
        <v>0</v>
      </c>
      <c r="Q9" s="482">
        <f>SUM(B9:P9)</f>
        <v>147452.93534524049</v>
      </c>
    </row>
    <row r="10" spans="1:17">
      <c r="A10" s="478" t="s">
        <v>561</v>
      </c>
      <c r="B10" s="479">
        <f>transport!B54</f>
        <v>0</v>
      </c>
      <c r="C10" s="479">
        <f>transport!C54</f>
        <v>0</v>
      </c>
      <c r="D10" s="479">
        <f>transport!D54</f>
        <v>0</v>
      </c>
      <c r="E10" s="479">
        <f>transport!E54</f>
        <v>0</v>
      </c>
      <c r="F10" s="479">
        <f>transport!F54</f>
        <v>0</v>
      </c>
      <c r="G10" s="479">
        <f>transport!G54</f>
        <v>1905.0510025676206</v>
      </c>
      <c r="H10" s="479">
        <f>transport!H54</f>
        <v>0</v>
      </c>
      <c r="I10" s="479">
        <f>transport!I54</f>
        <v>0</v>
      </c>
      <c r="J10" s="479">
        <f>transport!J54</f>
        <v>0</v>
      </c>
      <c r="K10" s="479">
        <f>transport!K54</f>
        <v>0</v>
      </c>
      <c r="L10" s="479">
        <f>transport!L54</f>
        <v>0</v>
      </c>
      <c r="M10" s="479">
        <f>transport!M54</f>
        <v>108.63950515275897</v>
      </c>
      <c r="N10" s="479">
        <f>transport!N54</f>
        <v>0</v>
      </c>
      <c r="O10" s="479">
        <f>transport!O54</f>
        <v>0</v>
      </c>
      <c r="P10" s="480">
        <f>transport!P54</f>
        <v>0</v>
      </c>
      <c r="Q10" s="478">
        <f t="shared" si="0"/>
        <v>2013.6905077203796</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106787.10472918466</v>
      </c>
      <c r="C14" s="489">
        <f t="shared" ref="C14:Q14" ca="1" si="1">SUM(C4:C13)</f>
        <v>0</v>
      </c>
      <c r="D14" s="489">
        <f t="shared" ca="1" si="1"/>
        <v>149766.98326881227</v>
      </c>
      <c r="E14" s="489">
        <f t="shared" si="1"/>
        <v>11154.235243120975</v>
      </c>
      <c r="F14" s="489">
        <f t="shared" ca="1" si="1"/>
        <v>74768.434913661666</v>
      </c>
      <c r="G14" s="489">
        <f t="shared" si="1"/>
        <v>117802.22277836734</v>
      </c>
      <c r="H14" s="489">
        <f t="shared" si="1"/>
        <v>23643.706933878759</v>
      </c>
      <c r="I14" s="489">
        <f t="shared" si="1"/>
        <v>0</v>
      </c>
      <c r="J14" s="489">
        <f t="shared" si="1"/>
        <v>3674.3902893779477</v>
      </c>
      <c r="K14" s="489">
        <f t="shared" si="1"/>
        <v>0</v>
      </c>
      <c r="L14" s="489">
        <f t="shared" ca="1" si="1"/>
        <v>0</v>
      </c>
      <c r="M14" s="489">
        <f t="shared" si="1"/>
        <v>7540.6072911841511</v>
      </c>
      <c r="N14" s="489">
        <f t="shared" ca="1" si="1"/>
        <v>29928.558515350149</v>
      </c>
      <c r="O14" s="489">
        <f t="shared" si="1"/>
        <v>247.00666666666669</v>
      </c>
      <c r="P14" s="490">
        <f t="shared" si="1"/>
        <v>877.06666666666661</v>
      </c>
      <c r="Q14" s="490">
        <f t="shared" ca="1" si="1"/>
        <v>526190.31729627121</v>
      </c>
    </row>
    <row r="16" spans="1:17">
      <c r="A16" s="492" t="s">
        <v>566</v>
      </c>
      <c r="B16" s="842">
        <f ca="1">huishoudens!B10</f>
        <v>0.20665507715616829</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12601.192222945734</v>
      </c>
      <c r="C21" s="479">
        <f t="shared" ref="C21:C30" ca="1" si="3">C4*$C$16</f>
        <v>0</v>
      </c>
      <c r="D21" s="479">
        <f t="shared" ref="D21:D30" si="4">D4*$D$16</f>
        <v>20403.827678039255</v>
      </c>
      <c r="E21" s="479">
        <f t="shared" ref="E21:E30" si="5">E4*$E$16</f>
        <v>2155.8413722518162</v>
      </c>
      <c r="F21" s="479">
        <f t="shared" ref="F21:F30" si="6">F4*$F$16</f>
        <v>16175.172903561681</v>
      </c>
      <c r="G21" s="479">
        <f t="shared" ref="G21:G30" si="7">G4*$G$16</f>
        <v>0</v>
      </c>
      <c r="H21" s="479">
        <f t="shared" ref="H21:H30" si="8">H4*$H$16</f>
        <v>0</v>
      </c>
      <c r="I21" s="479">
        <f t="shared" ref="I21:I30" si="9">I4*$I$16</f>
        <v>0</v>
      </c>
      <c r="J21" s="479">
        <f t="shared" ref="J21:J30" si="10">J4*$J$16</f>
        <v>1207.8124952073003</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52543.846672005784</v>
      </c>
    </row>
    <row r="22" spans="1:17">
      <c r="A22" s="478" t="s">
        <v>156</v>
      </c>
      <c r="B22" s="479">
        <f t="shared" ca="1" si="2"/>
        <v>7181.3648615165321</v>
      </c>
      <c r="C22" s="479">
        <f t="shared" ca="1" si="3"/>
        <v>0</v>
      </c>
      <c r="D22" s="479">
        <f t="shared" ca="1" si="4"/>
        <v>7518.0048976528878</v>
      </c>
      <c r="E22" s="479">
        <f t="shared" si="5"/>
        <v>94.163625851356684</v>
      </c>
      <c r="F22" s="479">
        <f t="shared" ca="1" si="6"/>
        <v>1465.7862606944921</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16259.31964571527</v>
      </c>
    </row>
    <row r="23" spans="1:17">
      <c r="A23" s="478" t="s">
        <v>194</v>
      </c>
      <c r="B23" s="479">
        <f t="shared" ca="1" si="2"/>
        <v>440.66467356534423</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440.66467356534423</v>
      </c>
    </row>
    <row r="24" spans="1:17">
      <c r="A24" s="478" t="s">
        <v>112</v>
      </c>
      <c r="B24" s="479">
        <f t="shared" ca="1" si="2"/>
        <v>296.24168567847676</v>
      </c>
      <c r="C24" s="479">
        <f t="shared" ca="1" si="3"/>
        <v>0</v>
      </c>
      <c r="D24" s="479">
        <f t="shared" si="4"/>
        <v>981.9986980919083</v>
      </c>
      <c r="E24" s="479">
        <f t="shared" si="5"/>
        <v>3.0140493812285198</v>
      </c>
      <c r="F24" s="479">
        <f t="shared" si="6"/>
        <v>971.1010609483468</v>
      </c>
      <c r="G24" s="479">
        <f t="shared" si="7"/>
        <v>0</v>
      </c>
      <c r="H24" s="479">
        <f t="shared" si="8"/>
        <v>0</v>
      </c>
      <c r="I24" s="479">
        <f t="shared" si="9"/>
        <v>0</v>
      </c>
      <c r="J24" s="479">
        <f t="shared" si="10"/>
        <v>77.799556708958903</v>
      </c>
      <c r="K24" s="479">
        <f t="shared" si="11"/>
        <v>0</v>
      </c>
      <c r="L24" s="479">
        <f t="shared" si="12"/>
        <v>0</v>
      </c>
      <c r="M24" s="479">
        <f t="shared" si="13"/>
        <v>0</v>
      </c>
      <c r="N24" s="479">
        <f t="shared" si="14"/>
        <v>0</v>
      </c>
      <c r="O24" s="479">
        <f t="shared" si="15"/>
        <v>0</v>
      </c>
      <c r="P24" s="480">
        <f t="shared" si="16"/>
        <v>0</v>
      </c>
      <c r="Q24" s="478">
        <f t="shared" ca="1" si="17"/>
        <v>2330.155050808919</v>
      </c>
    </row>
    <row r="25" spans="1:17">
      <c r="A25" s="478" t="s">
        <v>650</v>
      </c>
      <c r="B25" s="479">
        <f t="shared" ca="1" si="2"/>
        <v>1544.1242215186005</v>
      </c>
      <c r="C25" s="479">
        <f t="shared" ca="1" si="3"/>
        <v>0</v>
      </c>
      <c r="D25" s="479">
        <f t="shared" si="4"/>
        <v>1336.3887875780383</v>
      </c>
      <c r="E25" s="479">
        <f t="shared" si="5"/>
        <v>189.24950791268108</v>
      </c>
      <c r="F25" s="479">
        <f t="shared" si="6"/>
        <v>1351.1118967431478</v>
      </c>
      <c r="G25" s="479">
        <f t="shared" si="7"/>
        <v>0</v>
      </c>
      <c r="H25" s="479">
        <f t="shared" si="8"/>
        <v>0</v>
      </c>
      <c r="I25" s="479">
        <f t="shared" si="9"/>
        <v>0</v>
      </c>
      <c r="J25" s="479">
        <f t="shared" si="10"/>
        <v>15.12211052353423</v>
      </c>
      <c r="K25" s="479">
        <f t="shared" si="11"/>
        <v>0</v>
      </c>
      <c r="L25" s="479">
        <f t="shared" si="12"/>
        <v>0</v>
      </c>
      <c r="M25" s="479">
        <f t="shared" si="13"/>
        <v>0</v>
      </c>
      <c r="N25" s="479">
        <f t="shared" si="14"/>
        <v>0</v>
      </c>
      <c r="O25" s="479">
        <f t="shared" si="15"/>
        <v>0</v>
      </c>
      <c r="P25" s="480">
        <f t="shared" si="16"/>
        <v>0</v>
      </c>
      <c r="Q25" s="478">
        <f t="shared" ca="1" si="17"/>
        <v>4435.9965242760018</v>
      </c>
    </row>
    <row r="26" spans="1:17" s="484" customFormat="1">
      <c r="A26" s="482" t="s">
        <v>571</v>
      </c>
      <c r="B26" s="836">
        <f t="shared" ca="1" si="2"/>
        <v>4.509701868793103</v>
      </c>
      <c r="C26" s="483">
        <f t="shared" ca="1" si="3"/>
        <v>0</v>
      </c>
      <c r="D26" s="483">
        <f t="shared" si="4"/>
        <v>12.710558937994174</v>
      </c>
      <c r="E26" s="483">
        <f t="shared" si="5"/>
        <v>89.742844791378886</v>
      </c>
      <c r="F26" s="483">
        <f t="shared" si="6"/>
        <v>0</v>
      </c>
      <c r="G26" s="483">
        <f t="shared" si="7"/>
        <v>30944.54486413853</v>
      </c>
      <c r="H26" s="483">
        <f t="shared" si="8"/>
        <v>5887.2830265358107</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36938.79099627251</v>
      </c>
    </row>
    <row r="27" spans="1:17">
      <c r="A27" s="478" t="s">
        <v>561</v>
      </c>
      <c r="B27" s="479">
        <f t="shared" ca="1" si="2"/>
        <v>0</v>
      </c>
      <c r="C27" s="479">
        <f t="shared" ca="1" si="3"/>
        <v>0</v>
      </c>
      <c r="D27" s="479">
        <f t="shared" si="4"/>
        <v>0</v>
      </c>
      <c r="E27" s="479">
        <f t="shared" si="5"/>
        <v>0</v>
      </c>
      <c r="F27" s="479">
        <f t="shared" si="6"/>
        <v>0</v>
      </c>
      <c r="G27" s="479">
        <f t="shared" si="7"/>
        <v>508.64861768555471</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508.64861768555471</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22068.09736709348</v>
      </c>
      <c r="C31" s="489">
        <f t="shared" ca="1" si="18"/>
        <v>0</v>
      </c>
      <c r="D31" s="489">
        <f t="shared" ca="1" si="18"/>
        <v>30252.930620300085</v>
      </c>
      <c r="E31" s="489">
        <f t="shared" si="18"/>
        <v>2532.0114001884617</v>
      </c>
      <c r="F31" s="489">
        <f t="shared" ca="1" si="18"/>
        <v>19963.172121947664</v>
      </c>
      <c r="G31" s="489">
        <f t="shared" si="18"/>
        <v>31453.193481824084</v>
      </c>
      <c r="H31" s="489">
        <f t="shared" si="18"/>
        <v>5887.2830265358107</v>
      </c>
      <c r="I31" s="489">
        <f t="shared" si="18"/>
        <v>0</v>
      </c>
      <c r="J31" s="489">
        <f t="shared" si="18"/>
        <v>1300.7341624397934</v>
      </c>
      <c r="K31" s="489">
        <f t="shared" si="18"/>
        <v>0</v>
      </c>
      <c r="L31" s="489">
        <f t="shared" ca="1" si="18"/>
        <v>0</v>
      </c>
      <c r="M31" s="489">
        <f t="shared" si="18"/>
        <v>0</v>
      </c>
      <c r="N31" s="489">
        <f t="shared" ca="1" si="18"/>
        <v>0</v>
      </c>
      <c r="O31" s="489">
        <f t="shared" si="18"/>
        <v>0</v>
      </c>
      <c r="P31" s="490">
        <f t="shared" si="18"/>
        <v>0</v>
      </c>
      <c r="Q31" s="490">
        <f t="shared" ca="1" si="18"/>
        <v>113457.42218032939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0.20665507715616829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0.20665507715616829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0.20665507715616829</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41018</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14040</v>
      </c>
      <c r="C9" s="342">
        <v>14554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4189</v>
      </c>
    </row>
    <row r="15" spans="1:6">
      <c r="A15" s="348" t="s">
        <v>184</v>
      </c>
      <c r="B15" s="334">
        <v>33</v>
      </c>
    </row>
    <row r="16" spans="1:6">
      <c r="A16" s="348" t="s">
        <v>6</v>
      </c>
      <c r="B16" s="334">
        <v>1664</v>
      </c>
    </row>
    <row r="17" spans="1:6">
      <c r="A17" s="348" t="s">
        <v>7</v>
      </c>
      <c r="B17" s="334">
        <v>962</v>
      </c>
    </row>
    <row r="18" spans="1:6">
      <c r="A18" s="348" t="s">
        <v>8</v>
      </c>
      <c r="B18" s="334">
        <v>1748</v>
      </c>
    </row>
    <row r="19" spans="1:6">
      <c r="A19" s="348" t="s">
        <v>9</v>
      </c>
      <c r="B19" s="334">
        <v>1667</v>
      </c>
    </row>
    <row r="20" spans="1:6">
      <c r="A20" s="348" t="s">
        <v>10</v>
      </c>
      <c r="B20" s="334">
        <v>1517</v>
      </c>
    </row>
    <row r="21" spans="1:6">
      <c r="A21" s="348" t="s">
        <v>11</v>
      </c>
      <c r="B21" s="334">
        <v>1385</v>
      </c>
    </row>
    <row r="22" spans="1:6">
      <c r="A22" s="348" t="s">
        <v>12</v>
      </c>
      <c r="B22" s="334">
        <v>3814</v>
      </c>
    </row>
    <row r="23" spans="1:6">
      <c r="A23" s="348" t="s">
        <v>13</v>
      </c>
      <c r="B23" s="334">
        <v>54</v>
      </c>
    </row>
    <row r="24" spans="1:6">
      <c r="A24" s="348" t="s">
        <v>14</v>
      </c>
      <c r="B24" s="334">
        <v>4</v>
      </c>
    </row>
    <row r="25" spans="1:6">
      <c r="A25" s="348" t="s">
        <v>15</v>
      </c>
      <c r="B25" s="334">
        <v>404</v>
      </c>
    </row>
    <row r="26" spans="1:6">
      <c r="A26" s="348" t="s">
        <v>16</v>
      </c>
      <c r="B26" s="334">
        <v>347</v>
      </c>
    </row>
    <row r="27" spans="1:6">
      <c r="A27" s="348" t="s">
        <v>17</v>
      </c>
      <c r="B27" s="334">
        <v>28</v>
      </c>
    </row>
    <row r="28" spans="1:6" s="356" customFormat="1">
      <c r="A28" s="355" t="s">
        <v>18</v>
      </c>
      <c r="B28" s="355">
        <v>12378</v>
      </c>
    </row>
    <row r="29" spans="1:6">
      <c r="A29" s="355" t="s">
        <v>828</v>
      </c>
      <c r="B29" s="355">
        <v>129</v>
      </c>
      <c r="C29" s="356"/>
      <c r="D29" s="356"/>
      <c r="E29" s="356"/>
      <c r="F29" s="356"/>
    </row>
    <row r="30" spans="1:6">
      <c r="A30" s="341" t="s">
        <v>829</v>
      </c>
      <c r="B30" s="341">
        <v>14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6</v>
      </c>
      <c r="F38" s="334">
        <v>40264.589999999997</v>
      </c>
    </row>
    <row r="39" spans="1:6">
      <c r="A39" s="348" t="s">
        <v>30</v>
      </c>
      <c r="B39" s="348" t="s">
        <v>31</v>
      </c>
      <c r="C39" s="334">
        <v>8028</v>
      </c>
      <c r="D39" s="334">
        <v>111983423.404751</v>
      </c>
      <c r="E39" s="334">
        <v>13902</v>
      </c>
      <c r="F39" s="334">
        <v>55994714</v>
      </c>
    </row>
    <row r="40" spans="1:6">
      <c r="A40" s="348" t="s">
        <v>30</v>
      </c>
      <c r="B40" s="348" t="s">
        <v>29</v>
      </c>
      <c r="C40" s="334">
        <v>0</v>
      </c>
      <c r="D40" s="334">
        <v>0</v>
      </c>
      <c r="E40" s="334">
        <v>0</v>
      </c>
      <c r="F40" s="334">
        <v>0</v>
      </c>
    </row>
    <row r="41" spans="1:6">
      <c r="A41" s="348" t="s">
        <v>32</v>
      </c>
      <c r="B41" s="348" t="s">
        <v>33</v>
      </c>
      <c r="C41" s="334">
        <v>71</v>
      </c>
      <c r="D41" s="334">
        <v>2341084.8766268799</v>
      </c>
      <c r="E41" s="334">
        <v>202</v>
      </c>
      <c r="F41" s="334">
        <v>2328784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20</v>
      </c>
      <c r="F44" s="334">
        <v>619041.9</v>
      </c>
    </row>
    <row r="45" spans="1:6">
      <c r="A45" s="348" t="s">
        <v>32</v>
      </c>
      <c r="B45" s="348" t="s">
        <v>37</v>
      </c>
      <c r="C45" s="334">
        <v>0</v>
      </c>
      <c r="D45" s="334">
        <v>0</v>
      </c>
      <c r="E45" s="334">
        <v>4</v>
      </c>
      <c r="F45" s="334">
        <v>62711.93</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44</v>
      </c>
      <c r="D48" s="334">
        <v>4192819.9755040598</v>
      </c>
      <c r="E48" s="334">
        <v>76</v>
      </c>
      <c r="F48" s="334">
        <v>3250200</v>
      </c>
    </row>
    <row r="49" spans="1:6">
      <c r="A49" s="348" t="s">
        <v>32</v>
      </c>
      <c r="B49" s="348" t="s">
        <v>40</v>
      </c>
      <c r="C49" s="334">
        <v>0</v>
      </c>
      <c r="D49" s="334">
        <v>0</v>
      </c>
      <c r="E49" s="334">
        <v>0</v>
      </c>
      <c r="F49" s="334">
        <v>0</v>
      </c>
    </row>
    <row r="50" spans="1:6">
      <c r="A50" s="348" t="s">
        <v>32</v>
      </c>
      <c r="B50" s="348" t="s">
        <v>41</v>
      </c>
      <c r="C50" s="334">
        <v>19</v>
      </c>
      <c r="D50" s="334">
        <v>800669.51274600194</v>
      </c>
      <c r="E50" s="334">
        <v>38</v>
      </c>
      <c r="F50" s="334">
        <v>1211250</v>
      </c>
    </row>
    <row r="51" spans="1:6">
      <c r="A51" s="348" t="s">
        <v>42</v>
      </c>
      <c r="B51" s="348" t="s">
        <v>43</v>
      </c>
      <c r="C51" s="334">
        <v>13</v>
      </c>
      <c r="D51" s="334">
        <v>468174.63522002299</v>
      </c>
      <c r="E51" s="334">
        <v>94</v>
      </c>
      <c r="F51" s="334">
        <v>1158133</v>
      </c>
    </row>
    <row r="52" spans="1:6">
      <c r="A52" s="348" t="s">
        <v>42</v>
      </c>
      <c r="B52" s="348" t="s">
        <v>29</v>
      </c>
      <c r="C52" s="334">
        <v>7</v>
      </c>
      <c r="D52" s="334">
        <v>113836.998574627</v>
      </c>
      <c r="E52" s="334">
        <v>21</v>
      </c>
      <c r="F52" s="334">
        <v>275374.90000000002</v>
      </c>
    </row>
    <row r="53" spans="1:6">
      <c r="A53" s="348" t="s">
        <v>44</v>
      </c>
      <c r="B53" s="348" t="s">
        <v>45</v>
      </c>
      <c r="C53" s="334">
        <v>241</v>
      </c>
      <c r="D53" s="334">
        <v>4807544.5674518002</v>
      </c>
      <c r="E53" s="334">
        <v>510</v>
      </c>
      <c r="F53" s="334">
        <v>1980407</v>
      </c>
    </row>
    <row r="54" spans="1:6">
      <c r="A54" s="348" t="s">
        <v>46</v>
      </c>
      <c r="B54" s="348" t="s">
        <v>47</v>
      </c>
      <c r="C54" s="334">
        <v>0</v>
      </c>
      <c r="D54" s="334">
        <v>0</v>
      </c>
      <c r="E54" s="334">
        <v>1</v>
      </c>
      <c r="F54" s="334">
        <v>2132368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68</v>
      </c>
      <c r="D57" s="334">
        <v>2977720.0220955401</v>
      </c>
      <c r="E57" s="334">
        <v>177</v>
      </c>
      <c r="F57" s="334">
        <v>4382749</v>
      </c>
    </row>
    <row r="58" spans="1:6">
      <c r="A58" s="348" t="s">
        <v>49</v>
      </c>
      <c r="B58" s="348" t="s">
        <v>51</v>
      </c>
      <c r="C58" s="334">
        <v>34</v>
      </c>
      <c r="D58" s="334">
        <v>1742348.37861877</v>
      </c>
      <c r="E58" s="334">
        <v>52</v>
      </c>
      <c r="F58" s="334">
        <v>1013438</v>
      </c>
    </row>
    <row r="59" spans="1:6">
      <c r="A59" s="348" t="s">
        <v>49</v>
      </c>
      <c r="B59" s="348" t="s">
        <v>52</v>
      </c>
      <c r="C59" s="334">
        <v>195</v>
      </c>
      <c r="D59" s="334">
        <v>6955565.0088075502</v>
      </c>
      <c r="E59" s="334">
        <v>361</v>
      </c>
      <c r="F59" s="334">
        <v>11174887</v>
      </c>
    </row>
    <row r="60" spans="1:6">
      <c r="A60" s="348" t="s">
        <v>49</v>
      </c>
      <c r="B60" s="348" t="s">
        <v>53</v>
      </c>
      <c r="C60" s="334">
        <v>112</v>
      </c>
      <c r="D60" s="334">
        <v>4007177.1160224099</v>
      </c>
      <c r="E60" s="334">
        <v>185</v>
      </c>
      <c r="F60" s="334">
        <v>4623298</v>
      </c>
    </row>
    <row r="61" spans="1:6">
      <c r="A61" s="348" t="s">
        <v>49</v>
      </c>
      <c r="B61" s="348" t="s">
        <v>54</v>
      </c>
      <c r="C61" s="334">
        <v>168</v>
      </c>
      <c r="D61" s="334">
        <v>10723784.669360699</v>
      </c>
      <c r="E61" s="334">
        <v>357</v>
      </c>
      <c r="F61" s="334">
        <v>4786588</v>
      </c>
    </row>
    <row r="62" spans="1:6">
      <c r="A62" s="348" t="s">
        <v>49</v>
      </c>
      <c r="B62" s="348" t="s">
        <v>55</v>
      </c>
      <c r="C62" s="334">
        <v>16</v>
      </c>
      <c r="D62" s="334">
        <v>3022915.4449567199</v>
      </c>
      <c r="E62" s="334">
        <v>30</v>
      </c>
      <c r="F62" s="334">
        <v>989682.4</v>
      </c>
    </row>
    <row r="63" spans="1:6">
      <c r="A63" s="348" t="s">
        <v>49</v>
      </c>
      <c r="B63" s="348" t="s">
        <v>29</v>
      </c>
      <c r="C63" s="334">
        <v>134</v>
      </c>
      <c r="D63" s="334">
        <v>11831959.4576822</v>
      </c>
      <c r="E63" s="334">
        <v>159</v>
      </c>
      <c r="F63" s="334">
        <v>7779846</v>
      </c>
    </row>
    <row r="64" spans="1:6">
      <c r="A64" s="348" t="s">
        <v>56</v>
      </c>
      <c r="B64" s="348" t="s">
        <v>57</v>
      </c>
      <c r="C64" s="334">
        <v>0</v>
      </c>
      <c r="D64" s="334">
        <v>0</v>
      </c>
      <c r="E64" s="334">
        <v>0</v>
      </c>
      <c r="F64" s="334">
        <v>0</v>
      </c>
    </row>
    <row r="65" spans="1:6">
      <c r="A65" s="348" t="s">
        <v>56</v>
      </c>
      <c r="B65" s="348" t="s">
        <v>29</v>
      </c>
      <c r="C65" s="334">
        <v>5</v>
      </c>
      <c r="D65" s="334">
        <v>204269.64556647901</v>
      </c>
      <c r="E65" s="334">
        <v>5</v>
      </c>
      <c r="F65" s="334">
        <v>130197</v>
      </c>
    </row>
    <row r="66" spans="1:6">
      <c r="A66" s="348" t="s">
        <v>56</v>
      </c>
      <c r="B66" s="348" t="s">
        <v>58</v>
      </c>
      <c r="C66" s="334">
        <v>3</v>
      </c>
      <c r="D66" s="334">
        <v>390832.14441841398</v>
      </c>
      <c r="E66" s="334">
        <v>13</v>
      </c>
      <c r="F66" s="334">
        <v>489654.4</v>
      </c>
    </row>
    <row r="67" spans="1:6">
      <c r="A67" s="355" t="s">
        <v>56</v>
      </c>
      <c r="B67" s="355" t="s">
        <v>59</v>
      </c>
      <c r="C67" s="334">
        <v>4</v>
      </c>
      <c r="D67" s="334">
        <v>175800.187172531</v>
      </c>
      <c r="E67" s="334">
        <v>103</v>
      </c>
      <c r="F67" s="334">
        <v>750693.4</v>
      </c>
    </row>
    <row r="68" spans="1:6">
      <c r="A68" s="341" t="s">
        <v>56</v>
      </c>
      <c r="B68" s="341" t="s">
        <v>60</v>
      </c>
      <c r="C68" s="334">
        <v>3</v>
      </c>
      <c r="D68" s="334">
        <v>74080.021062575106</v>
      </c>
      <c r="E68" s="334">
        <v>12</v>
      </c>
      <c r="F68" s="334">
        <v>72773.789999999994</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108153069</v>
      </c>
      <c r="E73" s="477">
        <v>117093444.63603772</v>
      </c>
    </row>
    <row r="74" spans="1:6">
      <c r="A74" s="348" t="s">
        <v>64</v>
      </c>
      <c r="B74" s="348" t="s">
        <v>714</v>
      </c>
      <c r="C74" s="1229" t="s">
        <v>716</v>
      </c>
      <c r="D74" s="477">
        <v>12377109.910193693</v>
      </c>
      <c r="E74" s="477">
        <v>13149407.114748836</v>
      </c>
    </row>
    <row r="75" spans="1:6">
      <c r="A75" s="348" t="s">
        <v>65</v>
      </c>
      <c r="B75" s="348" t="s">
        <v>713</v>
      </c>
      <c r="C75" s="1229" t="s">
        <v>717</v>
      </c>
      <c r="D75" s="477">
        <v>51072040</v>
      </c>
      <c r="E75" s="477">
        <v>54634947.212420404</v>
      </c>
    </row>
    <row r="76" spans="1:6">
      <c r="A76" s="348" t="s">
        <v>65</v>
      </c>
      <c r="B76" s="348" t="s">
        <v>714</v>
      </c>
      <c r="C76" s="1229" t="s">
        <v>718</v>
      </c>
      <c r="D76" s="477">
        <v>1217533.9101936929</v>
      </c>
      <c r="E76" s="477">
        <v>1291024.4730525443</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538106.17961261445</v>
      </c>
      <c r="C83" s="477">
        <v>545971.01484859362</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4982.2162373494148</v>
      </c>
    </row>
    <row r="92" spans="1:6">
      <c r="A92" s="341" t="s">
        <v>69</v>
      </c>
      <c r="B92" s="342">
        <v>1949.2442968421281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4938</v>
      </c>
    </row>
    <row r="98" spans="1:6">
      <c r="A98" s="348" t="s">
        <v>72</v>
      </c>
      <c r="B98" s="334">
        <v>2</v>
      </c>
    </row>
    <row r="99" spans="1:6">
      <c r="A99" s="348" t="s">
        <v>73</v>
      </c>
      <c r="B99" s="334">
        <v>288</v>
      </c>
    </row>
    <row r="100" spans="1:6">
      <c r="A100" s="348" t="s">
        <v>74</v>
      </c>
      <c r="B100" s="334">
        <v>1062</v>
      </c>
    </row>
    <row r="101" spans="1:6">
      <c r="A101" s="348" t="s">
        <v>75</v>
      </c>
      <c r="B101" s="334">
        <v>192</v>
      </c>
    </row>
    <row r="102" spans="1:6">
      <c r="A102" s="348" t="s">
        <v>76</v>
      </c>
      <c r="B102" s="334">
        <v>251</v>
      </c>
    </row>
    <row r="103" spans="1:6">
      <c r="A103" s="348" t="s">
        <v>77</v>
      </c>
      <c r="B103" s="334">
        <v>406</v>
      </c>
    </row>
    <row r="104" spans="1:6">
      <c r="A104" s="348" t="s">
        <v>78</v>
      </c>
      <c r="B104" s="334">
        <v>5242</v>
      </c>
    </row>
    <row r="105" spans="1:6">
      <c r="A105" s="341" t="s">
        <v>79</v>
      </c>
      <c r="B105" s="341">
        <v>7</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22</v>
      </c>
      <c r="C123" s="334">
        <v>13</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142</v>
      </c>
    </row>
    <row r="130" spans="1:6">
      <c r="A130" s="348" t="s">
        <v>295</v>
      </c>
      <c r="B130" s="334">
        <v>2</v>
      </c>
    </row>
    <row r="131" spans="1:6">
      <c r="A131" s="348" t="s">
        <v>296</v>
      </c>
      <c r="B131" s="334">
        <v>0</v>
      </c>
    </row>
    <row r="132" spans="1:6">
      <c r="A132" s="341" t="s">
        <v>297</v>
      </c>
      <c r="B132" s="342">
        <v>24</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106787.10472918466</v>
      </c>
      <c r="C3" s="43" t="s">
        <v>170</v>
      </c>
      <c r="D3" s="43"/>
      <c r="E3" s="154"/>
      <c r="F3" s="43"/>
      <c r="G3" s="43"/>
      <c r="H3" s="43"/>
      <c r="I3" s="43"/>
      <c r="J3" s="43"/>
      <c r="K3" s="96"/>
    </row>
    <row r="4" spans="1:11">
      <c r="A4" s="384" t="s">
        <v>171</v>
      </c>
      <c r="B4" s="49">
        <f>IF(ISERROR('SEAP template'!B69),0,'SEAP template'!B69)</f>
        <v>6931.460534191543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0.20665507715616829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2132.3679999999999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2132.3679999999999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0.20665507715616829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440.66467356534423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55994.714</v>
      </c>
      <c r="C5" s="17">
        <f>IF(ISERROR('Eigen informatie GS &amp; warmtenet'!B57),0,'Eigen informatie GS &amp; warmtenet'!B57)</f>
        <v>0</v>
      </c>
      <c r="D5" s="30">
        <f>(SUM(HH_hh_gas_kWh,HH_rest_gas_kWh)/1000)*0.902</f>
        <v>101009.04791108541</v>
      </c>
      <c r="E5" s="17">
        <f>B46*B57</f>
        <v>9497.0985561754005</v>
      </c>
      <c r="F5" s="17">
        <f>B51*B62</f>
        <v>60581.171923451984</v>
      </c>
      <c r="G5" s="18"/>
      <c r="H5" s="17"/>
      <c r="I5" s="17"/>
      <c r="J5" s="17">
        <f>B50*B61+C50*C61</f>
        <v>3411.8997039754249</v>
      </c>
      <c r="K5" s="17"/>
      <c r="L5" s="17"/>
      <c r="M5" s="17"/>
      <c r="N5" s="17">
        <f>B48*B59+C48*C59</f>
        <v>24010.31581132708</v>
      </c>
      <c r="O5" s="17">
        <f>B69*B70*B71</f>
        <v>243.88000000000002</v>
      </c>
      <c r="P5" s="17">
        <f>B77*B78*B79/1000-B77*B78*B79/1000/B80</f>
        <v>877.06666666666661</v>
      </c>
    </row>
    <row r="6" spans="1:16">
      <c r="A6" s="16" t="s">
        <v>631</v>
      </c>
      <c r="B6" s="844">
        <f>kWh_PV_kleiner_dan_10kW</f>
        <v>4982.2162373494148</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60976.930237349414</v>
      </c>
      <c r="C8" s="21">
        <f>C5</f>
        <v>0</v>
      </c>
      <c r="D8" s="21">
        <f>D5</f>
        <v>101009.04791108541</v>
      </c>
      <c r="E8" s="21">
        <f>E5</f>
        <v>9497.0985561754005</v>
      </c>
      <c r="F8" s="21">
        <f>F5</f>
        <v>60581.171923451984</v>
      </c>
      <c r="G8" s="21"/>
      <c r="H8" s="21"/>
      <c r="I8" s="21"/>
      <c r="J8" s="21">
        <f>J5</f>
        <v>3411.8997039754249</v>
      </c>
      <c r="K8" s="21"/>
      <c r="L8" s="21">
        <f>L5</f>
        <v>0</v>
      </c>
      <c r="M8" s="21">
        <f>M5</f>
        <v>0</v>
      </c>
      <c r="N8" s="21">
        <f>N5</f>
        <v>24010.31581132708</v>
      </c>
      <c r="O8" s="21">
        <f>O5</f>
        <v>243.88000000000002</v>
      </c>
      <c r="P8" s="21">
        <f>P5</f>
        <v>877.06666666666661</v>
      </c>
    </row>
    <row r="9" spans="1:16">
      <c r="B9" s="19"/>
      <c r="C9" s="19"/>
      <c r="D9" s="258"/>
      <c r="E9" s="19"/>
      <c r="F9" s="19"/>
      <c r="G9" s="19"/>
      <c r="H9" s="19"/>
      <c r="I9" s="19"/>
      <c r="J9" s="19"/>
      <c r="K9" s="19"/>
      <c r="L9" s="19"/>
      <c r="M9" s="19"/>
      <c r="N9" s="19"/>
      <c r="O9" s="19"/>
      <c r="P9" s="19"/>
    </row>
    <row r="10" spans="1:16">
      <c r="A10" s="24" t="s">
        <v>214</v>
      </c>
      <c r="B10" s="25">
        <f ca="1">'EF ele_warmte'!B12</f>
        <v>0.20665507715616829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12601.192222945734</v>
      </c>
      <c r="C12" s="23">
        <f ca="1">C10*C8</f>
        <v>0</v>
      </c>
      <c r="D12" s="23">
        <f>D8*D10</f>
        <v>20403.827678039255</v>
      </c>
      <c r="E12" s="23">
        <f>E10*E8</f>
        <v>2155.8413722518162</v>
      </c>
      <c r="F12" s="23">
        <f>F10*F8</f>
        <v>16175.172903561681</v>
      </c>
      <c r="G12" s="23"/>
      <c r="H12" s="23"/>
      <c r="I12" s="23"/>
      <c r="J12" s="23">
        <f>J10*J8</f>
        <v>1207.8124952073003</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4938</v>
      </c>
      <c r="C18" s="166" t="s">
        <v>111</v>
      </c>
      <c r="D18" s="228"/>
      <c r="E18" s="15"/>
    </row>
    <row r="19" spans="1:7">
      <c r="A19" s="171" t="s">
        <v>72</v>
      </c>
      <c r="B19" s="37">
        <f>aantalw2001_ander</f>
        <v>2</v>
      </c>
      <c r="C19" s="166" t="s">
        <v>111</v>
      </c>
      <c r="D19" s="229"/>
      <c r="E19" s="15"/>
    </row>
    <row r="20" spans="1:7">
      <c r="A20" s="171" t="s">
        <v>73</v>
      </c>
      <c r="B20" s="37">
        <f>aantalw2001_propaan</f>
        <v>288</v>
      </c>
      <c r="C20" s="167">
        <f>IF(ISERROR(B20/SUM($B$20,$B$21,$B$22)*100),0,B20/SUM($B$20,$B$21,$B$22)*100)</f>
        <v>18.677042801556421</v>
      </c>
      <c r="D20" s="229"/>
      <c r="E20" s="15"/>
    </row>
    <row r="21" spans="1:7">
      <c r="A21" s="171" t="s">
        <v>74</v>
      </c>
      <c r="B21" s="37">
        <f>aantalw2001_elektriciteit</f>
        <v>1062</v>
      </c>
      <c r="C21" s="167">
        <f>IF(ISERROR(B21/SUM($B$20,$B$21,$B$22)*100),0,B21/SUM($B$20,$B$21,$B$22)*100)</f>
        <v>68.871595330739297</v>
      </c>
      <c r="D21" s="229"/>
      <c r="E21" s="15"/>
    </row>
    <row r="22" spans="1:7">
      <c r="A22" s="171" t="s">
        <v>75</v>
      </c>
      <c r="B22" s="37">
        <f>aantalw2001_hout</f>
        <v>192</v>
      </c>
      <c r="C22" s="167">
        <f>IF(ISERROR(B22/SUM($B$20,$B$21,$B$22)*100),0,B22/SUM($B$20,$B$21,$B$22)*100)</f>
        <v>12.45136186770428</v>
      </c>
      <c r="D22" s="229"/>
      <c r="E22" s="15"/>
    </row>
    <row r="23" spans="1:7">
      <c r="A23" s="171" t="s">
        <v>76</v>
      </c>
      <c r="B23" s="37">
        <f>aantalw2001_niet_gespec</f>
        <v>251</v>
      </c>
      <c r="C23" s="166" t="s">
        <v>111</v>
      </c>
      <c r="D23" s="228"/>
      <c r="E23" s="15"/>
    </row>
    <row r="24" spans="1:7">
      <c r="A24" s="171" t="s">
        <v>77</v>
      </c>
      <c r="B24" s="37">
        <f>aantalw2001_steenkool</f>
        <v>406</v>
      </c>
      <c r="C24" s="166" t="s">
        <v>111</v>
      </c>
      <c r="D24" s="229"/>
      <c r="E24" s="15"/>
    </row>
    <row r="25" spans="1:7">
      <c r="A25" s="171" t="s">
        <v>78</v>
      </c>
      <c r="B25" s="37">
        <f>aantalw2001_stookolie</f>
        <v>5242</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740</v>
      </c>
      <c r="B28" s="37">
        <f>aantalHuishoudens2011</f>
        <v>14040</v>
      </c>
      <c r="C28" s="36"/>
      <c r="D28" s="228"/>
    </row>
    <row r="29" spans="1:7" s="15" customFormat="1">
      <c r="A29" s="230" t="s">
        <v>741</v>
      </c>
      <c r="B29" s="37">
        <f>SUM(HH_hh_gas_aantal,HH_rest_gas_aantal)</f>
        <v>8028</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8028</v>
      </c>
      <c r="C32" s="167">
        <f>IF(ISERROR(B32/SUM($B$32,$B$34,$B$35,$B$36,$B$38,$B$39)*100),0,B32/SUM($B$32,$B$34,$B$35,$B$36,$B$38,$B$39)*100)</f>
        <v>57.367443189938548</v>
      </c>
      <c r="D32" s="233"/>
      <c r="G32" s="15"/>
    </row>
    <row r="33" spans="1:7">
      <c r="A33" s="171" t="s">
        <v>72</v>
      </c>
      <c r="B33" s="34" t="s">
        <v>111</v>
      </c>
      <c r="C33" s="167"/>
      <c r="D33" s="233"/>
      <c r="G33" s="15"/>
    </row>
    <row r="34" spans="1:7">
      <c r="A34" s="171" t="s">
        <v>73</v>
      </c>
      <c r="B34" s="33">
        <f>IF((($B$28-$B$32-$B$39-$B$77-$B$38)*C20/100)&lt;0,0,($B$28-$B$32-$B$39-$B$77-$B$38)*C20/100)</f>
        <v>636.51361867704281</v>
      </c>
      <c r="C34" s="167">
        <f>IF(ISERROR(B34/SUM($B$32,$B$34,$B$35,$B$36,$B$38,$B$39)*100),0,B34/SUM($B$32,$B$34,$B$35,$B$36,$B$38,$B$39)*100)</f>
        <v>4.5484751942049648</v>
      </c>
      <c r="D34" s="233"/>
      <c r="G34" s="15"/>
    </row>
    <row r="35" spans="1:7">
      <c r="A35" s="171" t="s">
        <v>74</v>
      </c>
      <c r="B35" s="33">
        <f>IF((($B$28-$B$32-$B$39-$B$77-$B$38)*C21/100)&lt;0,0,($B$28-$B$32-$B$39-$B$77-$B$38)*C21/100)</f>
        <v>2347.1439688715955</v>
      </c>
      <c r="C35" s="167">
        <f>IF(ISERROR(B35/SUM($B$32,$B$34,$B$35,$B$36,$B$38,$B$39)*100),0,B35/SUM($B$32,$B$34,$B$35,$B$36,$B$38,$B$39)*100)</f>
        <v>16.77250227863081</v>
      </c>
      <c r="D35" s="233"/>
      <c r="G35" s="15"/>
    </row>
    <row r="36" spans="1:7">
      <c r="A36" s="171" t="s">
        <v>75</v>
      </c>
      <c r="B36" s="33">
        <f>IF((($B$28-$B$32-$B$39-$B$77-$B$38)*C22/100)&lt;0,0,($B$28-$B$32-$B$39-$B$77-$B$38)*C22/100)</f>
        <v>424.34241245136189</v>
      </c>
      <c r="C36" s="167">
        <f>IF(ISERROR(B36/SUM($B$32,$B$34,$B$35,$B$36,$B$38,$B$39)*100),0,B36/SUM($B$32,$B$34,$B$35,$B$36,$B$38,$B$39)*100)</f>
        <v>3.0323167961366435</v>
      </c>
      <c r="D36" s="233"/>
      <c r="G36" s="15"/>
    </row>
    <row r="37" spans="1:7">
      <c r="A37" s="171" t="s">
        <v>76</v>
      </c>
      <c r="B37" s="34" t="s">
        <v>111</v>
      </c>
      <c r="C37" s="167"/>
      <c r="D37" s="173"/>
      <c r="G37" s="15"/>
    </row>
    <row r="38" spans="1:7">
      <c r="A38" s="171" t="s">
        <v>77</v>
      </c>
      <c r="B38" s="33">
        <f>IF((B24-(B29-B18)*0.1)&lt;0,0,B24-(B29-B18)*0.1)</f>
        <v>97</v>
      </c>
      <c r="C38" s="167">
        <f>IF(ISERROR(B38/SUM($B$32,$B$34,$B$35,$B$36,$B$38,$B$39)*100),0,B38/SUM($B$32,$B$34,$B$35,$B$36,$B$38,$B$39)*100)</f>
        <v>0.69315420894669144</v>
      </c>
      <c r="D38" s="234"/>
      <c r="G38" s="15"/>
    </row>
    <row r="39" spans="1:7">
      <c r="A39" s="171" t="s">
        <v>78</v>
      </c>
      <c r="B39" s="33">
        <f>IF((B25-(B29-B18))&lt;0,0,B25-(B29-B18)*0.9)</f>
        <v>2461</v>
      </c>
      <c r="C39" s="167">
        <f>IF(ISERROR(B39/SUM($B$32,$B$34,$B$35,$B$36,$B$38,$B$39)*100),0,B39/SUM($B$32,$B$34,$B$35,$B$36,$B$38,$B$39)*100)</f>
        <v>17.586108332142349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8028</v>
      </c>
      <c r="C44" s="34" t="s">
        <v>111</v>
      </c>
      <c r="D44" s="174"/>
    </row>
    <row r="45" spans="1:7">
      <c r="A45" s="171" t="s">
        <v>72</v>
      </c>
      <c r="B45" s="33" t="str">
        <f t="shared" si="0"/>
        <v>-</v>
      </c>
      <c r="C45" s="34" t="s">
        <v>111</v>
      </c>
      <c r="D45" s="174"/>
    </row>
    <row r="46" spans="1:7">
      <c r="A46" s="171" t="s">
        <v>73</v>
      </c>
      <c r="B46" s="33">
        <f t="shared" si="0"/>
        <v>636.51361867704281</v>
      </c>
      <c r="C46" s="34" t="s">
        <v>111</v>
      </c>
      <c r="D46" s="174"/>
    </row>
    <row r="47" spans="1:7">
      <c r="A47" s="171" t="s">
        <v>74</v>
      </c>
      <c r="B47" s="33">
        <f t="shared" si="0"/>
        <v>2347.1439688715955</v>
      </c>
      <c r="C47" s="34" t="s">
        <v>111</v>
      </c>
      <c r="D47" s="174"/>
    </row>
    <row r="48" spans="1:7">
      <c r="A48" s="171" t="s">
        <v>75</v>
      </c>
      <c r="B48" s="33">
        <f t="shared" si="0"/>
        <v>424.34241245136189</v>
      </c>
      <c r="C48" s="33">
        <f>B48*10</f>
        <v>4243.4241245136191</v>
      </c>
      <c r="D48" s="234"/>
    </row>
    <row r="49" spans="1:6">
      <c r="A49" s="171" t="s">
        <v>76</v>
      </c>
      <c r="B49" s="33" t="str">
        <f t="shared" si="0"/>
        <v>-</v>
      </c>
      <c r="C49" s="34" t="s">
        <v>111</v>
      </c>
      <c r="D49" s="234"/>
    </row>
    <row r="50" spans="1:6">
      <c r="A50" s="171" t="s">
        <v>77</v>
      </c>
      <c r="B50" s="33">
        <f t="shared" si="0"/>
        <v>97</v>
      </c>
      <c r="C50" s="33">
        <f>B50*2</f>
        <v>194</v>
      </c>
      <c r="D50" s="234"/>
    </row>
    <row r="51" spans="1:6">
      <c r="A51" s="171" t="s">
        <v>78</v>
      </c>
      <c r="B51" s="33">
        <f t="shared" si="0"/>
        <v>2461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34750.488400000002</v>
      </c>
      <c r="C5" s="17">
        <f>IF(ISERROR('Eigen informatie GS &amp; warmtenet'!B58),0,'Eigen informatie GS &amp; warmtenet'!B58)</f>
        <v>0</v>
      </c>
      <c r="D5" s="30">
        <f>SUM(D6:D12)</f>
        <v>37217.846027984589</v>
      </c>
      <c r="E5" s="17">
        <f>SUM(E6:E12)</f>
        <v>414.81773502800297</v>
      </c>
      <c r="F5" s="17">
        <f>SUM(F6:F12)</f>
        <v>5489.8361823763744</v>
      </c>
      <c r="G5" s="18"/>
      <c r="H5" s="17"/>
      <c r="I5" s="17"/>
      <c r="J5" s="17">
        <f>SUM(J6:J12)</f>
        <v>0</v>
      </c>
      <c r="K5" s="17"/>
      <c r="L5" s="17"/>
      <c r="M5" s="17"/>
      <c r="N5" s="17">
        <f>SUM(N6:N12)</f>
        <v>3899.673458099146</v>
      </c>
      <c r="O5" s="17">
        <f>B38*B39*B40</f>
        <v>3.1266666666666669</v>
      </c>
      <c r="P5" s="17">
        <f>B46*B47*B48/1000-B46*B47*B48/1000/B49</f>
        <v>0</v>
      </c>
      <c r="R5" s="32"/>
    </row>
    <row r="6" spans="1:18">
      <c r="A6" s="32" t="s">
        <v>54</v>
      </c>
      <c r="B6" s="37">
        <f>B26</f>
        <v>4786.5879999999997</v>
      </c>
      <c r="C6" s="33"/>
      <c r="D6" s="37">
        <f>IF(ISERROR(TER_kantoor_gas_kWh/1000),0,TER_kantoor_gas_kWh/1000)*0.902</f>
        <v>9672.8537717633499</v>
      </c>
      <c r="E6" s="33">
        <f>$C$26*'E Balans VL '!I12/100/3.6*1000000</f>
        <v>13.86744772803941</v>
      </c>
      <c r="F6" s="33">
        <f>$C$26*('E Balans VL '!L12+'E Balans VL '!N12)/100/3.6*1000000</f>
        <v>541.73630489005393</v>
      </c>
      <c r="G6" s="34"/>
      <c r="H6" s="33"/>
      <c r="I6" s="33"/>
      <c r="J6" s="33">
        <f>$C$26*('E Balans VL '!D12+'E Balans VL '!E12)/100/3.6*1000000</f>
        <v>0</v>
      </c>
      <c r="K6" s="33"/>
      <c r="L6" s="33"/>
      <c r="M6" s="33"/>
      <c r="N6" s="33">
        <f>$C$26*'E Balans VL '!Y12/100/3.6*1000000</f>
        <v>47.910218964489168</v>
      </c>
      <c r="O6" s="33"/>
      <c r="P6" s="33"/>
      <c r="R6" s="32"/>
    </row>
    <row r="7" spans="1:18">
      <c r="A7" s="32" t="s">
        <v>53</v>
      </c>
      <c r="B7" s="37">
        <f t="shared" ref="B7:B12" si="0">B27</f>
        <v>4623.2979999999998</v>
      </c>
      <c r="C7" s="33"/>
      <c r="D7" s="37">
        <f>IF(ISERROR(TER_horeca_gas_kWh/1000),0,TER_horeca_gas_kWh/1000)*0.902</f>
        <v>3614.4737586522137</v>
      </c>
      <c r="E7" s="33">
        <f>$C$27*'E Balans VL '!I9/100/3.6*1000000</f>
        <v>194.0731328006822</v>
      </c>
      <c r="F7" s="33">
        <f>$C$27*('E Balans VL '!L9+'E Balans VL '!N9)/100/3.6*1000000</f>
        <v>993.41038495494263</v>
      </c>
      <c r="G7" s="34"/>
      <c r="H7" s="33"/>
      <c r="I7" s="33"/>
      <c r="J7" s="33">
        <f>$C$27*('E Balans VL '!D9+'E Balans VL '!E9)/100/3.6*1000000</f>
        <v>0</v>
      </c>
      <c r="K7" s="33"/>
      <c r="L7" s="33"/>
      <c r="M7" s="33"/>
      <c r="N7" s="33">
        <f>$C$27*'E Balans VL '!Y9/100/3.6*1000000</f>
        <v>1.1913834623922184</v>
      </c>
      <c r="O7" s="33"/>
      <c r="P7" s="33"/>
      <c r="R7" s="32"/>
    </row>
    <row r="8" spans="1:18">
      <c r="A8" s="6" t="s">
        <v>52</v>
      </c>
      <c r="B8" s="37">
        <f t="shared" si="0"/>
        <v>11174.887000000001</v>
      </c>
      <c r="C8" s="33"/>
      <c r="D8" s="37">
        <f>IF(ISERROR(TER_handel_gas_kWh/1000),0,TER_handel_gas_kWh/1000)*0.902</f>
        <v>6273.9196379444102</v>
      </c>
      <c r="E8" s="33">
        <f>$C$28*'E Balans VL '!I13/100/3.6*1000000</f>
        <v>120.02758697406591</v>
      </c>
      <c r="F8" s="33">
        <f>$C$28*('E Balans VL '!L13+'E Balans VL '!N13)/100/3.6*1000000</f>
        <v>1446.6814024645064</v>
      </c>
      <c r="G8" s="34"/>
      <c r="H8" s="33"/>
      <c r="I8" s="33"/>
      <c r="J8" s="33">
        <f>$C$28*('E Balans VL '!D13+'E Balans VL '!E13)/100/3.6*1000000</f>
        <v>0</v>
      </c>
      <c r="K8" s="33"/>
      <c r="L8" s="33"/>
      <c r="M8" s="33"/>
      <c r="N8" s="33">
        <f>$C$28*'E Balans VL '!Y13/100/3.6*1000000</f>
        <v>90.651293519360337</v>
      </c>
      <c r="O8" s="33"/>
      <c r="P8" s="33"/>
      <c r="R8" s="32"/>
    </row>
    <row r="9" spans="1:18">
      <c r="A9" s="32" t="s">
        <v>51</v>
      </c>
      <c r="B9" s="37">
        <f t="shared" si="0"/>
        <v>1013.438</v>
      </c>
      <c r="C9" s="33"/>
      <c r="D9" s="37">
        <f>IF(ISERROR(TER_gezond_gas_kWh/1000),0,TER_gezond_gas_kWh/1000)*0.902</f>
        <v>1571.5982375141307</v>
      </c>
      <c r="E9" s="33">
        <f>$C$29*'E Balans VL '!I10/100/3.6*1000000</f>
        <v>0.80676219541377292</v>
      </c>
      <c r="F9" s="33">
        <f>$C$29*('E Balans VL '!L10+'E Balans VL '!N10)/100/3.6*1000000</f>
        <v>123.19803439822594</v>
      </c>
      <c r="G9" s="34"/>
      <c r="H9" s="33"/>
      <c r="I9" s="33"/>
      <c r="J9" s="33">
        <f>$C$29*('E Balans VL '!D10+'E Balans VL '!E10)/100/3.6*1000000</f>
        <v>0</v>
      </c>
      <c r="K9" s="33"/>
      <c r="L9" s="33"/>
      <c r="M9" s="33"/>
      <c r="N9" s="33">
        <f>$C$29*'E Balans VL '!Y10/100/3.6*1000000</f>
        <v>8.1862836712428688</v>
      </c>
      <c r="O9" s="33"/>
      <c r="P9" s="33"/>
      <c r="R9" s="32"/>
    </row>
    <row r="10" spans="1:18">
      <c r="A10" s="32" t="s">
        <v>50</v>
      </c>
      <c r="B10" s="37">
        <f t="shared" si="0"/>
        <v>4382.7489999999998</v>
      </c>
      <c r="C10" s="33"/>
      <c r="D10" s="37">
        <f>IF(ISERROR(TER_ander_gas_kWh/1000),0,TER_ander_gas_kWh/1000)*0.902</f>
        <v>2685.9034599301772</v>
      </c>
      <c r="E10" s="33">
        <f>$C$30*'E Balans VL '!I14/100/3.6*1000000</f>
        <v>15.019911063118906</v>
      </c>
      <c r="F10" s="33">
        <f>$C$30*('E Balans VL '!L14+'E Balans VL '!N14)/100/3.6*1000000</f>
        <v>978.92803265948294</v>
      </c>
      <c r="G10" s="34"/>
      <c r="H10" s="33"/>
      <c r="I10" s="33"/>
      <c r="J10" s="33">
        <f>$C$30*('E Balans VL '!D14+'E Balans VL '!E14)/100/3.6*1000000</f>
        <v>0</v>
      </c>
      <c r="K10" s="33"/>
      <c r="L10" s="33"/>
      <c r="M10" s="33"/>
      <c r="N10" s="33">
        <f>$C$30*'E Balans VL '!Y14/100/3.6*1000000</f>
        <v>3087.2323380897756</v>
      </c>
      <c r="O10" s="33"/>
      <c r="P10" s="33"/>
      <c r="R10" s="32"/>
    </row>
    <row r="11" spans="1:18">
      <c r="A11" s="32" t="s">
        <v>55</v>
      </c>
      <c r="B11" s="37">
        <f t="shared" si="0"/>
        <v>989.68240000000003</v>
      </c>
      <c r="C11" s="33"/>
      <c r="D11" s="37">
        <f>IF(ISERROR(TER_onderwijs_gas_kWh/1000),0,TER_onderwijs_gas_kWh/1000)*0.902</f>
        <v>2726.6697313509617</v>
      </c>
      <c r="E11" s="33">
        <f>$C$31*'E Balans VL '!I11/100/3.6*1000000</f>
        <v>0.68413696330087959</v>
      </c>
      <c r="F11" s="33">
        <f>$C$31*('E Balans VL '!L11+'E Balans VL '!N11)/100/3.6*1000000</f>
        <v>259.07010399690051</v>
      </c>
      <c r="G11" s="34"/>
      <c r="H11" s="33"/>
      <c r="I11" s="33"/>
      <c r="J11" s="33">
        <f>$C$31*('E Balans VL '!D11+'E Balans VL '!E11)/100/3.6*1000000</f>
        <v>0</v>
      </c>
      <c r="K11" s="33"/>
      <c r="L11" s="33"/>
      <c r="M11" s="33"/>
      <c r="N11" s="33">
        <f>$C$31*'E Balans VL '!Y11/100/3.6*1000000</f>
        <v>0.985144534628841</v>
      </c>
      <c r="O11" s="33"/>
      <c r="P11" s="33"/>
      <c r="R11" s="32"/>
    </row>
    <row r="12" spans="1:18">
      <c r="A12" s="32" t="s">
        <v>260</v>
      </c>
      <c r="B12" s="37">
        <f t="shared" si="0"/>
        <v>7779.8459999999995</v>
      </c>
      <c r="C12" s="33"/>
      <c r="D12" s="37">
        <f>IF(ISERROR(TER_rest_gas_kWh/1000),0,TER_rest_gas_kWh/1000)*0.902</f>
        <v>10672.427430829344</v>
      </c>
      <c r="E12" s="33">
        <f>$C$32*'E Balans VL '!I8/100/3.6*1000000</f>
        <v>70.33875730338184</v>
      </c>
      <c r="F12" s="33">
        <f>$C$32*('E Balans VL '!L8+'E Balans VL '!N8)/100/3.6*1000000</f>
        <v>1146.8119190122616</v>
      </c>
      <c r="G12" s="34"/>
      <c r="H12" s="33"/>
      <c r="I12" s="33"/>
      <c r="J12" s="33">
        <f>$C$32*('E Balans VL '!D8+'E Balans VL '!E8)/100/3.6*1000000</f>
        <v>0</v>
      </c>
      <c r="K12" s="33"/>
      <c r="L12" s="33"/>
      <c r="M12" s="33"/>
      <c r="N12" s="33">
        <f>$C$32*'E Balans VL '!Y8/100/3.6*1000000</f>
        <v>663.51679585725685</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34750.488400000002</v>
      </c>
      <c r="C16" s="21">
        <f t="shared" ca="1" si="1"/>
        <v>0</v>
      </c>
      <c r="D16" s="21">
        <f t="shared" ca="1" si="1"/>
        <v>37217.846027984589</v>
      </c>
      <c r="E16" s="21">
        <f t="shared" si="1"/>
        <v>414.81773502800297</v>
      </c>
      <c r="F16" s="21">
        <f t="shared" ca="1" si="1"/>
        <v>5489.8361823763744</v>
      </c>
      <c r="G16" s="21">
        <f t="shared" si="1"/>
        <v>0</v>
      </c>
      <c r="H16" s="21">
        <f t="shared" si="1"/>
        <v>0</v>
      </c>
      <c r="I16" s="21">
        <f t="shared" si="1"/>
        <v>0</v>
      </c>
      <c r="J16" s="21">
        <f t="shared" si="1"/>
        <v>0</v>
      </c>
      <c r="K16" s="21">
        <f t="shared" si="1"/>
        <v>0</v>
      </c>
      <c r="L16" s="21">
        <f t="shared" ca="1" si="1"/>
        <v>0</v>
      </c>
      <c r="M16" s="21">
        <f t="shared" si="1"/>
        <v>0</v>
      </c>
      <c r="N16" s="21">
        <f t="shared" ca="1" si="1"/>
        <v>3899.673458099146</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0.20665507715616829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7181.3648615165321</v>
      </c>
      <c r="C20" s="23">
        <f t="shared" ref="C20:P20" ca="1" si="2">C16*C18</f>
        <v>0</v>
      </c>
      <c r="D20" s="23">
        <f t="shared" ca="1" si="2"/>
        <v>7518.0048976528878</v>
      </c>
      <c r="E20" s="23">
        <f t="shared" si="2"/>
        <v>94.163625851356684</v>
      </c>
      <c r="F20" s="23">
        <f t="shared" ca="1" si="2"/>
        <v>1465.7862606944921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4786.5879999999997</v>
      </c>
      <c r="C26" s="39">
        <f>IF(ISERROR(B26*3.6/1000000/'E Balans VL '!Z12*100),0,B26*3.6/1000000/'E Balans VL '!Z12*100)</f>
        <v>0.10514293926987246</v>
      </c>
      <c r="D26" s="237" t="s">
        <v>692</v>
      </c>
      <c r="F26" s="6"/>
    </row>
    <row r="27" spans="1:18">
      <c r="A27" s="231" t="s">
        <v>53</v>
      </c>
      <c r="B27" s="33">
        <f>IF(ISERROR(TER_horeca_ele_kWh/1000),0,TER_horeca_ele_kWh/1000)</f>
        <v>4623.2979999999998</v>
      </c>
      <c r="C27" s="39">
        <f>IF(ISERROR(B27*3.6/1000000/'E Balans VL '!Z9*100),0,B27*3.6/1000000/'E Balans VL '!Z9*100)</f>
        <v>0.37152807987878445</v>
      </c>
      <c r="D27" s="237" t="s">
        <v>692</v>
      </c>
      <c r="F27" s="6"/>
    </row>
    <row r="28" spans="1:18">
      <c r="A28" s="171" t="s">
        <v>52</v>
      </c>
      <c r="B28" s="33">
        <f>IF(ISERROR(TER_handel_ele_kWh/1000),0,TER_handel_ele_kWh/1000)</f>
        <v>11174.887000000001</v>
      </c>
      <c r="C28" s="39">
        <f>IF(ISERROR(B28*3.6/1000000/'E Balans VL '!Z13*100),0,B28*3.6/1000000/'E Balans VL '!Z13*100)</f>
        <v>0.33043360165002283</v>
      </c>
      <c r="D28" s="237" t="s">
        <v>692</v>
      </c>
      <c r="F28" s="6"/>
    </row>
    <row r="29" spans="1:18">
      <c r="A29" s="231" t="s">
        <v>51</v>
      </c>
      <c r="B29" s="33">
        <f>IF(ISERROR(TER_gezond_ele_kWh/1000),0,TER_gezond_ele_kWh/1000)</f>
        <v>1013.438</v>
      </c>
      <c r="C29" s="39">
        <f>IF(ISERROR(B29*3.6/1000000/'E Balans VL '!Z10*100),0,B29*3.6/1000000/'E Balans VL '!Z10*100)</f>
        <v>0.11418829793726085</v>
      </c>
      <c r="D29" s="237" t="s">
        <v>692</v>
      </c>
      <c r="F29" s="6"/>
    </row>
    <row r="30" spans="1:18">
      <c r="A30" s="231" t="s">
        <v>50</v>
      </c>
      <c r="B30" s="33">
        <f>IF(ISERROR(TER_ander_ele_kWh/1000),0,TER_ander_ele_kWh/1000)</f>
        <v>4382.7489999999998</v>
      </c>
      <c r="C30" s="39">
        <f>IF(ISERROR(B30*3.6/1000000/'E Balans VL '!Z14*100),0,B30*3.6/1000000/'E Balans VL '!Z14*100)</f>
        <v>0.33145981489899723</v>
      </c>
      <c r="D30" s="237" t="s">
        <v>692</v>
      </c>
      <c r="F30" s="6"/>
    </row>
    <row r="31" spans="1:18">
      <c r="A31" s="231" t="s">
        <v>55</v>
      </c>
      <c r="B31" s="33">
        <f>IF(ISERROR(TER_onderwijs_ele_kWh/1000),0,TER_onderwijs_ele_kWh/1000)</f>
        <v>989.68240000000003</v>
      </c>
      <c r="C31" s="39">
        <f>IF(ISERROR(B31*3.6/1000000/'E Balans VL '!Z11*100),0,B31*3.6/1000000/'E Balans VL '!Z11*100)</f>
        <v>0.20543509174938862</v>
      </c>
      <c r="D31" s="237" t="s">
        <v>692</v>
      </c>
    </row>
    <row r="32" spans="1:18">
      <c r="A32" s="231" t="s">
        <v>260</v>
      </c>
      <c r="B32" s="33">
        <f>IF(ISERROR(TER_rest_ele_kWh/1000),0,TER_rest_ele_kWh/1000)</f>
        <v>7779.8459999999995</v>
      </c>
      <c r="C32" s="39">
        <f>IF(ISERROR(B32*3.6/1000000/'E Balans VL '!Z8*100),0,B32*3.6/1000000/'E Balans VL '!Z8*100)</f>
        <v>6.5540625821587484E-2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7471.98783</v>
      </c>
      <c r="C5" s="17">
        <f>IF(ISERROR('Eigen informatie GS &amp; warmtenet'!B59),0,'Eigen informatie GS &amp; warmtenet'!B59)</f>
        <v>0</v>
      </c>
      <c r="D5" s="30">
        <f>SUM(D6:D15)</f>
        <v>6615.7860771190017</v>
      </c>
      <c r="E5" s="17">
        <f>SUM(E6:E15)</f>
        <v>833.69827274308841</v>
      </c>
      <c r="F5" s="17">
        <f>SUM(F6:F15)</f>
        <v>5060.344182558606</v>
      </c>
      <c r="G5" s="18"/>
      <c r="H5" s="17"/>
      <c r="I5" s="17"/>
      <c r="J5" s="17">
        <f>SUM(J6:J15)</f>
        <v>42.717826337667319</v>
      </c>
      <c r="K5" s="17"/>
      <c r="L5" s="17"/>
      <c r="M5" s="17"/>
      <c r="N5" s="17">
        <f>SUM(N6:N15)</f>
        <v>2018.5692459239217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619.04190000000006</v>
      </c>
      <c r="C8" s="33"/>
      <c r="D8" s="37">
        <f>IF( ISERROR(IND_metaal_Gas_kWH/1000),0,IND_metaal_Gas_kWH/1000)*0.902</f>
        <v>0</v>
      </c>
      <c r="E8" s="33">
        <f>C30*'E Balans VL '!I18/100/3.6*1000000</f>
        <v>15.492452156766385</v>
      </c>
      <c r="F8" s="33">
        <f>C30*'E Balans VL '!L18/100/3.6*1000000+C30*'E Balans VL '!N18/100/3.6*1000000</f>
        <v>194.0108107327714</v>
      </c>
      <c r="G8" s="34"/>
      <c r="H8" s="33"/>
      <c r="I8" s="33"/>
      <c r="J8" s="40">
        <f>C30*'E Balans VL '!D18/100/3.6*1000000+C30*'E Balans VL '!E18/100/3.6*1000000</f>
        <v>0</v>
      </c>
      <c r="K8" s="33"/>
      <c r="L8" s="33"/>
      <c r="M8" s="33"/>
      <c r="N8" s="33">
        <f>C30*'E Balans VL '!Y18/100/3.6*1000000</f>
        <v>15.551939081823077</v>
      </c>
      <c r="O8" s="33"/>
      <c r="P8" s="33"/>
      <c r="R8" s="32"/>
    </row>
    <row r="9" spans="1:18">
      <c r="A9" s="6" t="s">
        <v>33</v>
      </c>
      <c r="B9" s="37">
        <f t="shared" si="0"/>
        <v>2328.7840000000001</v>
      </c>
      <c r="C9" s="33"/>
      <c r="D9" s="37">
        <f>IF( ISERROR(IND_andere_gas_kWh/1000),0,IND_andere_gas_kWh/1000)*0.902</f>
        <v>2111.6585587174459</v>
      </c>
      <c r="E9" s="33">
        <f>C31*'E Balans VL '!I19/100/3.6*1000000</f>
        <v>640.32008479477315</v>
      </c>
      <c r="F9" s="33">
        <f>C31*'E Balans VL '!L19/100/3.6*1000000+C31*'E Balans VL '!N19/100/3.6*1000000</f>
        <v>1835.4870295112269</v>
      </c>
      <c r="G9" s="34"/>
      <c r="H9" s="33"/>
      <c r="I9" s="33"/>
      <c r="J9" s="40">
        <f>C31*'E Balans VL '!D19/100/3.6*1000000+C31*'E Balans VL '!E19/100/3.6*1000000</f>
        <v>0</v>
      </c>
      <c r="K9" s="33"/>
      <c r="L9" s="33"/>
      <c r="M9" s="33"/>
      <c r="N9" s="33">
        <f>C31*'E Balans VL '!Y19/100/3.6*1000000</f>
        <v>753.88885041132778</v>
      </c>
      <c r="O9" s="33"/>
      <c r="P9" s="33"/>
      <c r="R9" s="32"/>
    </row>
    <row r="10" spans="1:18">
      <c r="A10" s="6" t="s">
        <v>41</v>
      </c>
      <c r="B10" s="37">
        <f t="shared" si="0"/>
        <v>1211.25</v>
      </c>
      <c r="C10" s="33"/>
      <c r="D10" s="37">
        <f>IF( ISERROR(IND_voed_gas_kWh/1000),0,IND_voed_gas_kWh/1000)*0.902</f>
        <v>722.20390049689377</v>
      </c>
      <c r="E10" s="33">
        <f>C32*'E Balans VL '!I20/100/3.6*1000000</f>
        <v>12.348026468567474</v>
      </c>
      <c r="F10" s="33">
        <f>C32*'E Balans VL '!L20/100/3.6*1000000+C32*'E Balans VL '!N20/100/3.6*1000000</f>
        <v>2288.0436743625332</v>
      </c>
      <c r="G10" s="34"/>
      <c r="H10" s="33"/>
      <c r="I10" s="33"/>
      <c r="J10" s="40">
        <f>C32*'E Balans VL '!D20/100/3.6*1000000+C32*'E Balans VL '!E20/100/3.6*1000000</f>
        <v>28.989175727943099</v>
      </c>
      <c r="K10" s="33"/>
      <c r="L10" s="33"/>
      <c r="M10" s="33"/>
      <c r="N10" s="33">
        <f>C32*'E Balans VL '!Y20/100/3.6*1000000</f>
        <v>638.46826889169586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62.711930000000002</v>
      </c>
      <c r="C12" s="33"/>
      <c r="D12" s="37">
        <f>IF( ISERROR(IND_min_gas_kWh/1000),0,IND_min_gas_kWh/1000)*0.902</f>
        <v>0</v>
      </c>
      <c r="E12" s="33">
        <f>C34*'E Balans VL '!I22/100/3.6*1000000</f>
        <v>0.18992606804453857</v>
      </c>
      <c r="F12" s="33">
        <f>C34*'E Balans VL '!L22/100/3.6*1000000+C34*'E Balans VL '!N22/100/3.6*1000000</f>
        <v>1.9598017282104359</v>
      </c>
      <c r="G12" s="34"/>
      <c r="H12" s="33"/>
      <c r="I12" s="33"/>
      <c r="J12" s="40">
        <f>C34*'E Balans VL '!D22/100/3.6*1000000+C34*'E Balans VL '!E22/100/3.6*1000000</f>
        <v>9.2987870858892749E-2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3250.2</v>
      </c>
      <c r="C15" s="33"/>
      <c r="D15" s="37">
        <f>IF( ISERROR(IND_rest_gas_kWh/1000),0,IND_rest_gas_kWh/1000)*0.902</f>
        <v>3781.923617904662</v>
      </c>
      <c r="E15" s="33">
        <f>C37*'E Balans VL '!I15/100/3.6*1000000</f>
        <v>165.34778325493681</v>
      </c>
      <c r="F15" s="33">
        <f>C37*'E Balans VL '!L15/100/3.6*1000000+C37*'E Balans VL '!N15/100/3.6*1000000</f>
        <v>740.84286622386412</v>
      </c>
      <c r="G15" s="34"/>
      <c r="H15" s="33"/>
      <c r="I15" s="33"/>
      <c r="J15" s="40">
        <f>C37*'E Balans VL '!D15/100/3.6*1000000+C37*'E Balans VL '!E15/100/3.6*1000000</f>
        <v>13.635662738865324</v>
      </c>
      <c r="K15" s="33"/>
      <c r="L15" s="33"/>
      <c r="M15" s="33"/>
      <c r="N15" s="33">
        <f>C37*'E Balans VL '!Y15/100/3.6*1000000</f>
        <v>610.66018753907497</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7471.98783</v>
      </c>
      <c r="C18" s="21">
        <f>C5+C16</f>
        <v>0</v>
      </c>
      <c r="D18" s="21">
        <f>MAX((D5+D16),0)</f>
        <v>6615.7860771190017</v>
      </c>
      <c r="E18" s="21">
        <f>MAX((E5+E16),0)</f>
        <v>833.69827274308841</v>
      </c>
      <c r="F18" s="21">
        <f>MAX((F5+F16),0)</f>
        <v>5060.344182558606</v>
      </c>
      <c r="G18" s="21"/>
      <c r="H18" s="21"/>
      <c r="I18" s="21"/>
      <c r="J18" s="21">
        <f>MAX((J5+J16),0)</f>
        <v>42.717826337667319</v>
      </c>
      <c r="K18" s="21"/>
      <c r="L18" s="21">
        <f>MAX((L5+L16),0)</f>
        <v>0</v>
      </c>
      <c r="M18" s="21"/>
      <c r="N18" s="21">
        <f>MAX((N5+N16),0)</f>
        <v>2018.5692459239217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0.20665507715616829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1544.1242215186005</v>
      </c>
      <c r="C22" s="23">
        <f ca="1">C18*C20</f>
        <v>0</v>
      </c>
      <c r="D22" s="23">
        <f>D18*D20</f>
        <v>1336.3887875780383</v>
      </c>
      <c r="E22" s="23">
        <f>E18*E20</f>
        <v>189.24950791268108</v>
      </c>
      <c r="F22" s="23">
        <f>F18*F20</f>
        <v>1351.1118967431478</v>
      </c>
      <c r="G22" s="23"/>
      <c r="H22" s="23"/>
      <c r="I22" s="23"/>
      <c r="J22" s="23">
        <f>J18*J20</f>
        <v>15.12211052353423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619.04190000000006</v>
      </c>
      <c r="C30" s="39">
        <f>IF(ISERROR(B30*3.6/1000000/'E Balans VL '!Z18*100),0,B30*3.6/1000000/'E Balans VL '!Z18*100)</f>
        <v>8.6645236200778825E-2</v>
      </c>
      <c r="D30" s="237" t="s">
        <v>692</v>
      </c>
    </row>
    <row r="31" spans="1:18">
      <c r="A31" s="6" t="s">
        <v>33</v>
      </c>
      <c r="B31" s="37">
        <f>IF( ISERROR(IND_ander_ele_kWh/1000),0,IND_ander_ele_kWh/1000)</f>
        <v>2328.7840000000001</v>
      </c>
      <c r="C31" s="39">
        <f>IF(ISERROR(B31*3.6/1000000/'E Balans VL '!Z19*100),0,B31*3.6/1000000/'E Balans VL '!Z19*100)</f>
        <v>0.10193049789756202</v>
      </c>
      <c r="D31" s="237" t="s">
        <v>692</v>
      </c>
    </row>
    <row r="32" spans="1:18">
      <c r="A32" s="171" t="s">
        <v>41</v>
      </c>
      <c r="B32" s="37">
        <f>IF( ISERROR(IND_voed_ele_kWh/1000),0,IND_voed_ele_kWh/1000)</f>
        <v>1211.25</v>
      </c>
      <c r="C32" s="39">
        <f>IF(ISERROR(B32*3.6/1000000/'E Balans VL '!Z20*100),0,B32*3.6/1000000/'E Balans VL '!Z20*100)</f>
        <v>0.29986527637154975</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62.711930000000002</v>
      </c>
      <c r="C34" s="39">
        <f>IF(ISERROR(B34*3.6/1000000/'E Balans VL '!Z22*100),0,B34*3.6/1000000/'E Balans VL '!Z22*100)</f>
        <v>1.7795087224761687E-3</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3250.2</v>
      </c>
      <c r="C37" s="39">
        <f>IF(ISERROR(B37*3.6/1000000/'E Balans VL '!Z15*100),0,B37*3.6/1000000/'E Balans VL '!Z15*100)</f>
        <v>2.4099676542212681E-2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1433.5078999999998</v>
      </c>
      <c r="C5" s="17">
        <f>'Eigen informatie GS &amp; warmtenet'!B60</f>
        <v>0</v>
      </c>
      <c r="D5" s="30">
        <f>IF(ISERROR(SUM(LB_lb_gas_kWh,LB_rest_gas_kWh,onbekend_gas_kWh)/1000),0,SUM(LB_lb_gas_kWh,LB_rest_gas_kWh,onbekend_gas_kWh)/1000)*0.902</f>
        <v>4861.3796935242981</v>
      </c>
      <c r="E5" s="17">
        <f>B17*'E Balans VL '!I25/3.6*1000000/100</f>
        <v>13.277750578099205</v>
      </c>
      <c r="F5" s="17">
        <f>B17*('E Balans VL '!L25/3.6*1000000+'E Balans VL '!N25/3.6*1000000)/100</f>
        <v>3637.082625274707</v>
      </c>
      <c r="G5" s="18"/>
      <c r="H5" s="17"/>
      <c r="I5" s="17"/>
      <c r="J5" s="17">
        <f>('E Balans VL '!D25+'E Balans VL '!E25)/3.6*1000000*landbouw!B17/100</f>
        <v>219.77275906485568</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1433.5078999999998</v>
      </c>
      <c r="C8" s="21">
        <f>C5+C6</f>
        <v>0</v>
      </c>
      <c r="D8" s="21">
        <f>MAX((D5+D6),0)</f>
        <v>4861.3796935242981</v>
      </c>
      <c r="E8" s="21">
        <f>MAX((E5+E6),0)</f>
        <v>13.277750578099205</v>
      </c>
      <c r="F8" s="21">
        <f>MAX((F5+F6),0)</f>
        <v>3637.082625274707</v>
      </c>
      <c r="G8" s="21"/>
      <c r="H8" s="21"/>
      <c r="I8" s="21"/>
      <c r="J8" s="21">
        <f>MAX((J5+J6),0)</f>
        <v>219.77275906485568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0.20665507715616829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296.24168567847676</v>
      </c>
      <c r="C12" s="23">
        <f ca="1">C8*C10</f>
        <v>0</v>
      </c>
      <c r="D12" s="23">
        <f>D8*D10</f>
        <v>981.9986980919083</v>
      </c>
      <c r="E12" s="23">
        <f>E8*E10</f>
        <v>3.0140493812285198</v>
      </c>
      <c r="F12" s="23">
        <f>F8*F10</f>
        <v>971.1010609483468</v>
      </c>
      <c r="G12" s="23"/>
      <c r="H12" s="23"/>
      <c r="I12" s="23"/>
      <c r="J12" s="23">
        <f>J8*J10</f>
        <v>77.799556708958903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0.20381442775866512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549.37814737242411</v>
      </c>
      <c r="C26" s="247">
        <f>B26*'GWP N2O_CH4'!B5</f>
        <v>11536.941094820906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114.01242827781489</v>
      </c>
      <c r="C27" s="247">
        <f>B27*'GWP N2O_CH4'!B5</f>
        <v>2394.2609938341129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7.1009324767059017</v>
      </c>
      <c r="C28" s="247">
        <f>B28*'GWP N2O_CH4'!B4</f>
        <v>2201.2890677788296</v>
      </c>
      <c r="D28" s="50"/>
    </row>
    <row r="29" spans="1:4">
      <c r="A29" s="41" t="s">
        <v>277</v>
      </c>
      <c r="B29" s="247">
        <f>B34*'ha_N2O bodem landbouw'!B4</f>
        <v>27.730288361251901</v>
      </c>
      <c r="C29" s="247">
        <f>B29*'GWP N2O_CH4'!B4</f>
        <v>8596.3893919880902</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6.2194151463321927E-3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7.8560502606894641E-5</v>
      </c>
      <c r="C5" s="464" t="s">
        <v>211</v>
      </c>
      <c r="D5" s="449">
        <f>SUM(D6:D11)</f>
        <v>2.2652481275633177E-4</v>
      </c>
      <c r="E5" s="449">
        <f>SUM(E6:E11)</f>
        <v>1.423234542946978E-3</v>
      </c>
      <c r="F5" s="462" t="s">
        <v>211</v>
      </c>
      <c r="G5" s="449">
        <f>SUM(G6:G11)</f>
        <v>0.41722981839287904</v>
      </c>
      <c r="H5" s="449">
        <f>SUM(H6:H11)</f>
        <v>8.5117344961963534E-2</v>
      </c>
      <c r="I5" s="464" t="s">
        <v>211</v>
      </c>
      <c r="J5" s="464" t="s">
        <v>211</v>
      </c>
      <c r="K5" s="464" t="s">
        <v>211</v>
      </c>
      <c r="L5" s="464" t="s">
        <v>211</v>
      </c>
      <c r="M5" s="449">
        <f>SUM(M6:M11)</f>
        <v>2.6755084029713012E-2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5.336193212540464E-5</v>
      </c>
      <c r="C6" s="450"/>
      <c r="D6" s="963">
        <f>vkm_2011_GW_PW*SUMIFS(TableVerdeelsleutelVkm[CNG],TableVerdeelsleutelVkm[Voertuigtype],"Lichte voertuigen")*SUMIFS(TableECFTransport[EnergieConsumptieFactor (PJ per km)],TableECFTransport[Index],CONCATENATE($A6,"_CNG_CNG"))</f>
        <v>1.2343202391142181E-4</v>
      </c>
      <c r="E6" s="963">
        <f>vkm_2011_GW_PW*SUMIFS(TableVerdeelsleutelVkm[LPG],TableVerdeelsleutelVkm[Voertuigtype],"Lichte voertuigen")*SUMIFS(TableECFTransport[EnergieConsumptieFactor (PJ per km)],TableECFTransport[Index],CONCATENATE($A6,"_LPG_LPG"))</f>
        <v>8.0371480119981371E-4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0.16696580385023002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4.7064209653953075E-2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1.1107048183873222E-2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0.11546413333757409</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3.9486636675109302E-5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6.6802545939876152E-3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2.5198570481489995E-5</v>
      </c>
      <c r="C8" s="450"/>
      <c r="D8" s="452">
        <f>vkm_2011_NGW_PW*SUMIFS(TableVerdeelsleutelVkm[CNG],TableVerdeelsleutelVkm[Voertuigtype],"Lichte voertuigen")*SUMIFS(TableECFTransport[EnergieConsumptieFactor (PJ per km)],TableECFTransport[Index],CONCATENATE($A8,"_CNG_CNG"))</f>
        <v>1.0309278884490995E-4</v>
      </c>
      <c r="E8" s="452">
        <f>vkm_2011_NGW_PW*SUMIFS(TableVerdeelsleutelVkm[LPG],TableVerdeelsleutelVkm[Voertuigtype],"Lichte voertuigen")*SUMIFS(TableECFTransport[EnergieConsumptieFactor (PJ per km)],TableECFTransport[Index],CONCATENATE($A8,"_LPG_LPG"))</f>
        <v>6.1951974174716425E-4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0.12030982373282477</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3.800895985752744E-2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8.1294574987020914E-3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1.4490057472250129E-2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4.6888138079090067E-6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8.383237531500808E-4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21.822361835248511</v>
      </c>
      <c r="C14" s="21"/>
      <c r="D14" s="21">
        <f t="shared" ref="D14:M14" si="0">((D5)*10^9/3600)+D12</f>
        <v>62.923559098981052</v>
      </c>
      <c r="E14" s="21">
        <f t="shared" si="0"/>
        <v>395.34292859638276</v>
      </c>
      <c r="F14" s="21"/>
      <c r="G14" s="21">
        <f t="shared" si="0"/>
        <v>115897.17177579972</v>
      </c>
      <c r="H14" s="21">
        <f t="shared" si="0"/>
        <v>23643.706933878759</v>
      </c>
      <c r="I14" s="21"/>
      <c r="J14" s="21"/>
      <c r="K14" s="21"/>
      <c r="L14" s="21"/>
      <c r="M14" s="21">
        <f t="shared" si="0"/>
        <v>7431.9677860313923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0.20665507715616829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4.509701868793103</v>
      </c>
      <c r="C18" s="23"/>
      <c r="D18" s="23">
        <f t="shared" ref="D18:M18" si="1">D14*D16</f>
        <v>12.710558937994174</v>
      </c>
      <c r="E18" s="23">
        <f t="shared" si="1"/>
        <v>89.742844791378886</v>
      </c>
      <c r="F18" s="23"/>
      <c r="G18" s="23">
        <f t="shared" si="1"/>
        <v>30944.54486413853</v>
      </c>
      <c r="H18" s="23">
        <f t="shared" si="1"/>
        <v>5887.2830265358107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6.8581836092434338E-3</v>
      </c>
      <c r="H50" s="321">
        <f t="shared" si="2"/>
        <v>0</v>
      </c>
      <c r="I50" s="321">
        <f t="shared" si="2"/>
        <v>0</v>
      </c>
      <c r="J50" s="321">
        <f t="shared" si="2"/>
        <v>0</v>
      </c>
      <c r="K50" s="321">
        <f t="shared" si="2"/>
        <v>0</v>
      </c>
      <c r="L50" s="321">
        <f t="shared" si="2"/>
        <v>0</v>
      </c>
      <c r="M50" s="321">
        <f t="shared" si="2"/>
        <v>3.9110221854993227E-4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6.8581836092434338E-3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3.9110221854993227E-4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1905.0510025676206</v>
      </c>
      <c r="H54" s="21">
        <f t="shared" si="3"/>
        <v>0</v>
      </c>
      <c r="I54" s="21">
        <f t="shared" si="3"/>
        <v>0</v>
      </c>
      <c r="J54" s="21">
        <f t="shared" si="3"/>
        <v>0</v>
      </c>
      <c r="K54" s="21">
        <f t="shared" si="3"/>
        <v>0</v>
      </c>
      <c r="L54" s="21">
        <f t="shared" si="3"/>
        <v>0</v>
      </c>
      <c r="M54" s="21">
        <f t="shared" si="3"/>
        <v>108.63950515275897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0.20665507715616829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508.64861768555471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6931.460534191543</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6931.460534191543</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2018-06-27T09:37:17Z</dcterms:modified>
</cp:coreProperties>
</file>