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<sst xmlns="http://schemas.openxmlformats.org/spreadsheetml/2006/main" count="1959" uniqueCount="840">
  <si>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</si>
  <si>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</si>
  <si>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</si>
  <si>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</si>
  <si>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</si>
  <si>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</si>
  <si>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</si>
  <si>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</si>
  <si>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</si>
  <si>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</si>
  <si>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</si>
  <si>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</si>
  <si>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</si>
  <si>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</si>
  <si>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</si>
  <si>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</si>
  <si>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</si>
  <si>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</si>
  <si>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</si>
  <si>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</si>
  <si>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</si>
  <si>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</si>
  <si>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</si>
  <si>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</si>
  <si>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</si>
  <si>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</si>
  <si>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</si>
  <si>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</si>
  <si>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</si>
  <si>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</si>
  <si>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</si>
  <si>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</si>
  <si>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</si>
  <si>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</si>
  <si>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</si>
  <si>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</si>
  <si>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</si>
  <si>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</si>
  <si>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</si>
  <si>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</si>
  <si>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</si>
  <si>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</si>
  <si>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</si>
  <si>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</si>
  <si>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</si>
  <si>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</si>
  <si>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</si>
  <si>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</si>
  <si>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</si>
  <si>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</si>
  <si>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</si>
  <si>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</si>
  <si>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</si>
  <si>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</si>
  <si>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</si>
  <si>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</si>
  <si>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</si>
  <si>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</si>
  <si>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</si>
  <si>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</si>
  <si>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</si>
  <si>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</si>
  <si>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</si>
  <si>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</si>
  <si>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</si>
  <si>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</si>
  <si>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</si>
  <si>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</si>
  <si>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</si>
  <si>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</si>
  <si>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</si>
  <si>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</si>
  <si>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</si>
  <si>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</si>
  <si>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</si>
  <si>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</si>
  <si>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</si>
  <si>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</si>
  <si>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</si>
  <si>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</si>
  <si>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</si>
  <si>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</si>
  <si>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</si>
  <si>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</si>
  <si>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</si>
  <si>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</si>
  <si>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</si>
  <si>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</si>
  <si>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</si>
  <si>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</si>
  <si>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</si>
  <si>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</si>
  <si>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</si>
  <si>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</si>
  <si>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</si>
  <si>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</si>
  <si>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</si>
  <si>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</si>
  <si>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</si>
  <si>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</si>
  <si>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</si>
  <si>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</si>
  <si>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</si>
  <si>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</si>
  <si>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</si>
  <si>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</si>
  <si>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</si>
  <si>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</si>
  <si>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</si>
  <si>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</si>
  <si>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</si>
  <si>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</si>
  <si>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</si>
  <si>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</si>
  <si>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</si>
  <si>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</si>
  <si>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</si>
  <si>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</si>
  <si>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</si>
  <si>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</si>
  <si>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</si>
  <si>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</si>
  <si>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</si>
  <si>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</si>
  <si>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</si>
  <si>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</si>
  <si>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</si>
  <si>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</si>
  <si>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</si>
  <si>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</si>
  <si>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</si>
  <si>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</si>
  <si>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</si>
  <si>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</si>
  <si>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</si>
  <si>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</si>
  <si>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</si>
  <si>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</si>
  <si>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</si>
  <si>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</si>
  <si>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</si>
  <si>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</si>
  <si>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</si>
  <si>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</si>
  <si>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</si>
  <si>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</si>
  <si>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</si>
  <si>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</si>
  <si>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</si>
  <si>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</si>
  <si>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</si>
  <si>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</si>
  <si>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</si>
  <si>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</si>
  <si>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</si>
  <si>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</si>
  <si>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</si>
  <si>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</si>
  <si>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</si>
  <si>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</si>
  <si>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</si>
  <si>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</si>
  <si>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</si>
  <si>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</si>
  <si>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</si>
  <si>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</si>
  <si>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</si>
  <si>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</si>
  <si>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</si>
  <si>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</si>
  <si>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</si>
  <si>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</si>
  <si>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</si>
  <si>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</si>
  <si>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</si>
  <si>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</si>
  <si>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</si>
  <si>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</si>
  <si>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</si>
  <si>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</si>
  <si>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</si>
  <si>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</si>
  <si>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</si>
  <si>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</si>
  <si>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</si>
  <si>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</si>
  <si>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</si>
  <si>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</si>
  <si>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</si>
  <si>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</si>
  <si>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</si>
  <si>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</si>
  <si>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</si>
  <si>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</si>
  <si>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</si>
  <si>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</si>
  <si>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</si>
  <si>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</si>
  <si>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</si>
  <si>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</si>
  <si>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</si>
  <si>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</si>
  <si>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</si>
  <si>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</si>
  <si>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</si>
  <si>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</si>
  <si>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</si>
  <si>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</si>
  <si>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</si>
  <si>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</si>
  <si>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</si>
  <si>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</si>
  <si>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</si>
  <si>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</si>
  <si>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</si>
  <si>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</si>
  <si>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</si>
  <si>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</si>
  <si>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</si>
  <si>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</si>
  <si>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</si>
  <si>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</si>
  <si>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</si>
  <si>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</si>
  <si>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</si>
  <si>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</si>
  <si>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</si>
  <si>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</si>
  <si>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</si>
  <si>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</si>
  <si>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</si>
  <si>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</si>
  <si>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</si>
  <si>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</si>
  <si>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</si>
  <si>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</si>
  <si>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</si>
  <si>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</si>
  <si>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</si>
  <si>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</si>
  <si>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</si>
  <si>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</si>
  <si>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</si>
  <si>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</si>
  <si>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</si>
  <si>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</si>
  <si>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</si>
  <si>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</si>
  <si>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</si>
  <si>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</si>
  <si>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</si>
  <si>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</si>
  <si>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</si>
  <si>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</si>
  <si>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</si>
  <si>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</si>
  <si>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</si>
  <si>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</si>
  <si>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</si>
  <si>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</si>
  <si>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</si>
  <si>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</si>
  <si>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</si>
  <si>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</si>
  <si>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</si>
  <si>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</si>
  <si>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</si>
  <si>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</si>
  <si>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</si>
  <si>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</si>
  <si>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</si>
  <si>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</si>
  <si>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</si>
  <si>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</si>
  <si>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</si>
  <si>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</si>
  <si>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</si>
  <si>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</si>
  <si>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</si>
  <si>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</si>
  <si>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</si>
  <si>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</si>
  <si>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</si>
  <si>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</si>
  <si>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</si>
  <si>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</si>
  <si>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</si>
  <si>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</si>
  <si>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</si>
  <si>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</si>
  <si>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</si>
  <si>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</si>
  <si>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</si>
  <si>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</si>
  <si>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</si>
  <si>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</si>
  <si>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</si>
  <si>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</si>
  <si>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</si>
  <si>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</si>
  <si>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</si>
  <si>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</si>
  <si>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</si>
  <si>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</si>
  <si>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</si>
  <si>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</si>
  <si>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</si>
  <si>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</si>
  <si>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</si>
  <si>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</si>
  <si>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</si>
  <si>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</si>
  <si>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</si>
  <si>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</si>
  <si>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</si>
  <si>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</si>
  <si>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</si>
  <si>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</si>
  <si>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</si>
  <si>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</si>
  <si>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</si>
  <si>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</si>
  <si>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</si>
  <si>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</si>
  <si>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</si>
  <si>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</si>
  <si>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</si>
  <si>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</si>
  <si>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</si>
  <si>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</si>
  <si>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</si>
  <si>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</si>
  <si>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</si>
  <si>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</si>
  <si>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</si>
  <si>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</si>
  <si>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</si>
  <si>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</si>
  <si>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</si>
  <si>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</si>
  <si>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</si>
  <si>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</si>
  <si>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</si>
  <si>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</si>
  <si>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</si>
  <si>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</si>
  <si>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</si>
  <si>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</si>
  <si>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</si>
  <si>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</si>
  <si>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</si>
  <si>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</si>
  <si>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</si>
  <si>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</si>
  <si>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</si>
  <si>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</si>
  <si>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</si>
  <si>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</si>
  <si>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</si>
  <si>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</si>
  <si>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</si>
  <si>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</si>
  <si>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</si>
  <si>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</si>
  <si>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</si>
  <si>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</si>
  <si>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</si>
  <si>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</si>
  <si>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</si>
  <si>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</si>
  <si>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</si>
  <si>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</si>
  <si>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</si>
  <si>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</si>
  <si>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</si>
  <si>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</si>
  <si>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</si>
  <si>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</si>
  <si>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</si>
  <si>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</si>
  <si>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</si>
  <si>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</si>
  <si>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</si>
  <si>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</si>
  <si>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</si>
  <si>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</si>
  <si>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</si>
  <si>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</si>
  <si>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</si>
  <si>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</si>
  <si>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</si>
  <si>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</si>
  <si>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</si>
  <si>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</si>
  <si>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</si>
  <si>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</si>
  <si>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</si>
  <si>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</si>
  <si>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</si>
  <si>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</si>
  <si>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</si>
  <si>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</si>
  <si>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</si>
  <si>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</si>
  <si>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</si>
  <si>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</si>
  <si>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</si>
  <si>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</si>
  <si>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</si>
  <si>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</si>
  <si>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</si>
  <si>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</si>
  <si>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</si>
  <si>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</si>
  <si>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</si>
  <si>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</si>
  <si>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</si>
  <si>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</si>
  <si>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</si>
  <si>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</si>
  <si>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</si>
  <si>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</si>
  <si>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</si>
  <si>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</si>
  <si>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</si>
  <si>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</si>
  <si>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</si>
  <si>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</si>
  <si>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</si>
  <si>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</si>
  <si>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</si>
  <si>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</si>
  <si>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</si>
  <si>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</si>
  <si>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</si>
  <si>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</si>
  <si>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</si>
  <si>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</si>
  <si>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</si>
  <si>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</si>
  <si>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</si>
  <si>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</si>
  <si>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</si>
  <si>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</si>
  <si>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</si>
  <si>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</si>
  <si>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</si>
  <si>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</si>
  <si>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</si>
  <si>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</si>
  <si>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</si>
  <si>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</si>
  <si>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</si>
  <si>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</si>
  <si>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</si>
  <si>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</si>
  <si>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</si>
  <si>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</si>
  <si>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</si>
  <si>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</si>
  <si>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</si>
  <si>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</si>
  <si>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</si>
  <si>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</si>
  <si>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</si>
  <si>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</si>
  <si>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</si>
  <si>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</si>
  <si>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</si>
  <si>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</si>
  <si>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</si>
  <si>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</si>
  <si>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</si>
  <si>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</si>
  <si>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</si>
  <si>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</si>
  <si>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</si>
  <si>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</si>
  <si>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</si>
  <si>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</si>
  <si>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</si>
  <si>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</si>
  <si>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</si>
  <si>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</si>
  <si>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</si>
  <si>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</si>
  <si>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</si>
  <si>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</si>
  <si>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</si>
  <si>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</si>
  <si>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</si>
  <si>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</si>
  <si>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</si>
  <si>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</si>
  <si>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</si>
  <si>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</si>
  <si>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</si>
  <si>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</si>
  <si>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</si>
  <si>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</si>
  <si>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</si>
  <si>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</si>
  <si>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</si>
  <si>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</si>
  <si>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</si>
  <si>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</si>
  <si>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</si>
  <si>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</si>
  <si>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</si>
  <si>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</si>
  <si>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</si>
  <si>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</si>
  <si>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</si>
  <si>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</si>
  <si>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</si>
  <si>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</si>
  <si>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</si>
  <si>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</si>
  <si>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</si>
  <si>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</si>
  <si>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</si>
  <si>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</si>
  <si>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</si>
  <si>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</si>
  <si>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</si>
  <si>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</si>
  <si>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</si>
  <si>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</si>
  <si>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</si>
  <si>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</si>
  <si>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</si>
  <si>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</si>
  <si>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</si>
  <si>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</si>
  <si>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</si>
  <si>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</si>
  <si>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</si>
  <si>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</si>
  <si>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</si>
  <si>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</si>
  <si>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</si>
  <si>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</si>
  <si>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</si>
  <si>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</si>
  <si>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</si>
  <si>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</si>
  <si>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</si>
  <si>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</si>
  <si>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</si>
  <si>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</si>
  <si>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</si>
  <si>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</si>
  <si>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</si>
  <si>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</si>
  <si>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</si>
  <si>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</si>
  <si>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</si>
  <si>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</si>
  <si>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</si>
  <si>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</si>
  <si>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</si>
  <si>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</si>
  <si>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</si>
  <si>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</si>
  <si>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</si>
  <si>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</si>
  <si>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</si>
  <si>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</si>
  <si>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</si>
  <si>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</si>
  <si>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</si>
  <si>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</si>
  <si>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</si>
  <si>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</si>
  <si>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</si>
  <si>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</si>
  <si>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</si>
  <si>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</si>
  <si>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</si>
  <si>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</si>
  <si>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</si>
  <si>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</si>
  <si>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</si>
  <si>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</si>
  <si>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</si>
  <si>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</si>
  <si>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</si>
  <si>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</si>
  <si>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</si>
  <si>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</si>
  <si>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</si>
  <si>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</si>
  <si>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</si>
  <si>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</si>
  <si>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</si>
  <si>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</si>
  <si>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</si>
  <si>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</si>
  <si>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</si>
  <si>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</si>
  <si>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</si>
  <si>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</si>
  <si>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</si>
  <si>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</si>
  <si>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</si>
  <si>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</si>
  <si>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</si>
  <si>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</si>
  <si>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</si>
  <si>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</si>
  <si>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</si>
  <si>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</si>
  <si>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</si>
  <si>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</si>
  <si>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</si>
  <si>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</si>
  <si>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</si>
  <si>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</si>
  <si>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</si>
  <si>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</si>
  <si>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</si>
  <si>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</si>
  <si>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</si>
  <si>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</si>
  <si>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</si>
  <si>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</si>
  <si>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</si>
  <si>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</si>
  <si>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</si>
  <si>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</si>
  <si>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</si>
  <si>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</si>
  <si>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</si>
  <si>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</si>
  <si>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</si>
  <si>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</si>
  <si>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</si>
  <si>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</si>
  <si>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</si>
  <si>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</si>
  <si>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</si>
  <si>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</si>
  <si>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</si>
  <si>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</si>
  <si>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</si>
  <si>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</si>
  <si>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</si>
  <si>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</si>
  <si>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</si>
  <si>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</si>
  <si>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</si>
  <si>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</si>
  <si>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</si>
  <si>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</si>
  <si>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</si>
  <si>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</si>
  <si>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</si>
  <si>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</si>
  <si>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</si>
  <si>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</si>
  <si>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</si>
  <si>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</si>
  <si>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</si>
  <si>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</si>
  <si>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</si>
  <si>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</si>
  <si>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</si>
  <si>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</si>
  <si>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</si>
  <si>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</si>
  <si>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</si>
  <si>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</si>
  <si>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</si>
  <si>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</si>
  <si>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</si>
  <si>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</si>
  <si>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</si>
  <si>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</si>
  <si>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</si>
  <si>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</si>
  <si>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</si>
  <si>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</si>
  <si>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</si>
  <si>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</si>
  <si>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</si>
  <si>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</si>
  <si>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</si>
  <si>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</si>
  <si>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</si>
  <si>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</si>
  <si>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</si>
  <si>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</si>
  <si>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</si>
  <si>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</si>
  <si>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</si>
  <si>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</si>
  <si>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</si>
  <si>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</si>
  <si>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</si>
  <si>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</si>
  <si>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</si>
  <si>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</si>
  <si>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</si>
  <si>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</si>
  <si>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</si>
  <si>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</si>
  <si>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</si>
  <si>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</si>
  <si>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</si>
  <si>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</si>
  <si>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</si>
  <si>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</si>
  <si>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</si>
  <si>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</si>
  <si>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</si>
  <si>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</si>
  <si>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</si>
  <si>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</si>
  <si>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</si>
  <si>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</si>
  <si>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</si>
  <si>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</si>
  <si>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</si>
  <si>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</si>
  <si>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</si>
  <si>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</si>
  <si>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</si>
  <si>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</si>
  <si>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</si>
  <si>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</si>
  <si>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</si>
  <si>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</si>
  <si>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</si>
  <si>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</si>
  <si>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</si>
  <si>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</si>
  <si>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</si>
  <si>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</si>
  <si>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</si>
  <si>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</si>
  <si>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</si>
  <si>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</si>
  <si>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</si>
  <si>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</si>
  <si>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</si>
  <si>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</si>
  <si>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</si>
  <si>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</si>
  <si>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</si>
  <si>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</si>
  <si>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</si>
  <si>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</si>
  <si>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</si>
  <si>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</si>
  <si>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</si>
  <si>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</si>
  <si>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</si>
  <si>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</si>
  <si>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</si>
  <si>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</si>
  <si>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</si>
  <si>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</si>
  <si>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</si>
  <si>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</si>
  <si>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</si>
  <si>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</si>
  <si>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</si>
  <si>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</si>
  <si>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</si>
  <si>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</si>
  <si>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</si>
  <si>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</si>
  <si>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</si>
  <si>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</si>
  <si>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</si>
  <si>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</si>
  <si>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</si>
  <si>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</si>
  <si>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</si>
  <si>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</si>
  <si>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</si>
  <si>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</si>
  <si>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</si>
  <si>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</si>
  <si>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</si>
  <si>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</si>
  <si>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</si>
  <si>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</si>
  <si>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</si>
  <si>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</si>
  <si>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</si>
  <si>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</si>
  <si>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</si>
  <si>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</si>
  <si>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</si>
  <si>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</si>
  <si>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</si>
  <si>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</si>
  <si>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</si>
  <si>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</si>
  <si>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</si>
  <si>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</si>
  <si>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</si>
  <si>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</si>
  <si>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</si>
  <si>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</si>
  <si>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</si>
  <si>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</si>
  <si>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</si>
  <si>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</si>
  <si>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</si>
  <si>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</si>
  <si>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</si>
  <si>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</si>
  <si>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</si>
  <si>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</si>
  <si>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</si>
  <si>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</si>
  <si>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</si>
  <si>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</si>
  <si>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</si>
  <si>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</si>
  <si>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</si>
  <si>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</si>
  <si>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</si>
  <si>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</si>
  <si>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38014</t>
  </si>
  <si>
    <t>KOKSIJDE</t>
  </si>
  <si>
    <t>Paarden&amp;pony's 200 - 600 kg</t>
  </si>
  <si>
    <t>Paarden&amp;pony's &lt; 200 kg</t>
  </si>
  <si>
    <t>referentietaak LNE (2017); Jaarverslag De Lijn (2014)</t>
  </si>
  <si>
    <t>op basis van VEA (maart 2018) en Inventaris Hernieuwbare Energiebronnen (juni 2018)</t>
  </si>
  <si>
    <t>VEA (maart 2016)</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</si>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</sst>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168916.70720210514</c:v>
                </c:pt>
                <c:pt idx="1">
                  <c:v>121324.00434494136</c:v>
                </c:pt>
                <c:pt idx="2">
                  <c:v>3022.7579999999998</c:v>
                </c:pt>
                <c:pt idx="3">
                  <c:v>18459.922305586068</c:v>
                </c:pt>
                <c:pt idx="4">
                  <c:v>13225.533329983587</c:v>
                </c:pt>
                <c:pt idx="5">
                  <c:v>99358.481479444323</c:v>
                </c:pt>
                <c:pt idx="6">
                  <c:v>2650.3159820071423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168916.70720210514</c:v>
                </c:pt>
                <c:pt idx="1">
                  <c:v>121324.00434494136</c:v>
                </c:pt>
                <c:pt idx="2">
                  <c:v>3022.7579999999998</c:v>
                </c:pt>
                <c:pt idx="3">
                  <c:v>18459.922305586068</c:v>
                </c:pt>
                <c:pt idx="4">
                  <c:v>13225.533329983587</c:v>
                </c:pt>
                <c:pt idx="5">
                  <c:v>99358.481479444323</c:v>
                </c:pt>
                <c:pt idx="6">
                  <c:v>2650.3159820071423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34613.834768206201</c:v>
                </c:pt>
                <c:pt idx="1">
                  <c:v>24572.976337088006</c:v>
                </c:pt>
                <c:pt idx="2">
                  <c:v>648.56212224040144</c:v>
                </c:pt>
                <c:pt idx="3">
                  <c:v>3941.333439961676</c:v>
                </c:pt>
                <c:pt idx="4">
                  <c:v>2715.4754054593695</c:v>
                </c:pt>
                <c:pt idx="5">
                  <c:v>24927.558836895936</c:v>
                </c:pt>
                <c:pt idx="6">
                  <c:v>618.29220662901503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34613.834768206201</c:v>
                </c:pt>
                <c:pt idx="1">
                  <c:v>24572.976337088006</c:v>
                </c:pt>
                <c:pt idx="2">
                  <c:v>648.56212224040144</c:v>
                </c:pt>
                <c:pt idx="3">
                  <c:v>3941.333439961676</c:v>
                </c:pt>
                <c:pt idx="4">
                  <c:v>2715.4754054593695</c:v>
                </c:pt>
                <c:pt idx="5">
                  <c:v>24927.558836895936</c:v>
                </c:pt>
                <c:pt idx="6">
                  <c:v>618.29220662901503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38014</v>
      </c>
      <c r="B6" s="416"/>
      <c r="C6" s="417"/>
    </row>
    <row r="7" spans="1:7" s="414" customFormat="1" ht="15.75" customHeight="1">
      <c r="A7" s="418" t="str">
        <f>txtMunicipality</f>
        <v>KOKSIJDE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11123</v>
      </c>
      <c r="C9" s="342">
        <v>11661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2187</v>
      </c>
    </row>
    <row r="15" spans="1:6">
      <c r="A15" s="348" t="s">
        <v>184</v>
      </c>
      <c r="B15" s="334">
        <v>7</v>
      </c>
    </row>
    <row r="16" spans="1:6">
      <c r="A16" s="348" t="s">
        <v>6</v>
      </c>
      <c r="B16" s="334">
        <v>252</v>
      </c>
    </row>
    <row r="17" spans="1:6">
      <c r="A17" s="348" t="s">
        <v>7</v>
      </c>
      <c r="B17" s="334">
        <v>177</v>
      </c>
    </row>
    <row r="18" spans="1:6">
      <c r="A18" s="348" t="s">
        <v>8</v>
      </c>
      <c r="B18" s="334">
        <v>248</v>
      </c>
    </row>
    <row r="19" spans="1:6">
      <c r="A19" s="348" t="s">
        <v>9</v>
      </c>
      <c r="B19" s="334">
        <v>267</v>
      </c>
    </row>
    <row r="20" spans="1:6">
      <c r="A20" s="348" t="s">
        <v>10</v>
      </c>
      <c r="B20" s="334">
        <v>442</v>
      </c>
    </row>
    <row r="21" spans="1:6">
      <c r="A21" s="348" t="s">
        <v>11</v>
      </c>
      <c r="B21" s="334">
        <v>5007</v>
      </c>
    </row>
    <row r="22" spans="1:6">
      <c r="A22" s="348" t="s">
        <v>12</v>
      </c>
      <c r="B22" s="334">
        <v>7605</v>
      </c>
    </row>
    <row r="23" spans="1:6">
      <c r="A23" s="348" t="s">
        <v>13</v>
      </c>
      <c r="B23" s="334">
        <v>227</v>
      </c>
    </row>
    <row r="24" spans="1:6">
      <c r="A24" s="348" t="s">
        <v>14</v>
      </c>
      <c r="B24" s="334">
        <v>89</v>
      </c>
    </row>
    <row r="25" spans="1:6">
      <c r="A25" s="348" t="s">
        <v>15</v>
      </c>
      <c r="B25" s="334">
        <v>1359</v>
      </c>
    </row>
    <row r="26" spans="1:6">
      <c r="A26" s="348" t="s">
        <v>16</v>
      </c>
      <c r="B26" s="334">
        <v>91</v>
      </c>
    </row>
    <row r="27" spans="1:6">
      <c r="A27" s="348" t="s">
        <v>17</v>
      </c>
      <c r="B27" s="334">
        <v>3</v>
      </c>
    </row>
    <row r="28" spans="1:6" s="356" customFormat="1">
      <c r="A28" s="355" t="s">
        <v>18</v>
      </c>
      <c r="B28" s="355">
        <v>218082</v>
      </c>
    </row>
    <row r="29" spans="1:6">
      <c r="A29" s="355" t="s">
        <v>828</v>
      </c>
      <c r="B29" s="355">
        <v>209</v>
      </c>
      <c r="C29" s="356"/>
      <c r="D29" s="356"/>
      <c r="E29" s="356"/>
      <c r="F29" s="356"/>
    </row>
    <row r="30" spans="1:6">
      <c r="A30" s="341" t="s">
        <v>829</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1065901.4967580701</v>
      </c>
      <c r="E36" s="334">
        <v>3</v>
      </c>
      <c r="F36" s="334">
        <v>8864.3739999999998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12144</v>
      </c>
      <c r="D39" s="334">
        <v>123664494.306308</v>
      </c>
      <c r="E39" s="334">
        <v>22278</v>
      </c>
      <c r="F39" s="334">
        <v>53588436</v>
      </c>
    </row>
    <row r="40" spans="1:6">
      <c r="A40" s="348" t="s">
        <v>30</v>
      </c>
      <c r="B40" s="348" t="s">
        <v>29</v>
      </c>
      <c r="C40" s="334">
        <v>0</v>
      </c>
      <c r="D40" s="334">
        <v>0</v>
      </c>
      <c r="E40" s="334">
        <v>0</v>
      </c>
      <c r="F40" s="334">
        <v>0</v>
      </c>
    </row>
    <row r="41" spans="1:6">
      <c r="A41" s="348" t="s">
        <v>32</v>
      </c>
      <c r="B41" s="348" t="s">
        <v>33</v>
      </c>
      <c r="C41" s="334">
        <v>181</v>
      </c>
      <c r="D41" s="334">
        <v>2616841.8192395899</v>
      </c>
      <c r="E41" s="334">
        <v>394</v>
      </c>
      <c r="F41" s="334">
        <v>2206504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16701.992484243699</v>
      </c>
      <c r="E44" s="334">
        <v>7</v>
      </c>
      <c r="F44" s="334">
        <v>102193.7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11</v>
      </c>
      <c r="D47" s="334">
        <v>136864.55096501499</v>
      </c>
      <c r="E47" s="334">
        <v>11</v>
      </c>
      <c r="F47" s="334">
        <v>38605.35</v>
      </c>
    </row>
    <row r="48" spans="1:6">
      <c r="A48" s="348" t="s">
        <v>32</v>
      </c>
      <c r="B48" s="348" t="s">
        <v>29</v>
      </c>
      <c r="C48" s="334">
        <v>27</v>
      </c>
      <c r="D48" s="334">
        <v>335137.27140268899</v>
      </c>
      <c r="E48" s="334">
        <v>38</v>
      </c>
      <c r="F48" s="334">
        <v>178670.1</v>
      </c>
    </row>
    <row r="49" spans="1:6">
      <c r="A49" s="348" t="s">
        <v>32</v>
      </c>
      <c r="B49" s="348" t="s">
        <v>40</v>
      </c>
      <c r="C49" s="334">
        <v>0</v>
      </c>
      <c r="D49" s="334">
        <v>0</v>
      </c>
      <c r="E49" s="334">
        <v>4</v>
      </c>
      <c r="F49" s="334">
        <v>8827.2890000000007</v>
      </c>
    </row>
    <row r="50" spans="1:6">
      <c r="A50" s="348" t="s">
        <v>32</v>
      </c>
      <c r="B50" s="348" t="s">
        <v>41</v>
      </c>
      <c r="C50" s="334">
        <v>20</v>
      </c>
      <c r="D50" s="334">
        <v>1281773.6033719699</v>
      </c>
      <c r="E50" s="334">
        <v>29</v>
      </c>
      <c r="F50" s="334">
        <v>1024372</v>
      </c>
    </row>
    <row r="51" spans="1:6">
      <c r="A51" s="348" t="s">
        <v>42</v>
      </c>
      <c r="B51" s="348" t="s">
        <v>43</v>
      </c>
      <c r="C51" s="334">
        <v>9</v>
      </c>
      <c r="D51" s="334">
        <v>152610.07167112001</v>
      </c>
      <c r="E51" s="334">
        <v>67</v>
      </c>
      <c r="F51" s="334">
        <v>890808.9</v>
      </c>
    </row>
    <row r="52" spans="1:6">
      <c r="A52" s="348" t="s">
        <v>42</v>
      </c>
      <c r="B52" s="348" t="s">
        <v>29</v>
      </c>
      <c r="C52" s="334">
        <v>8</v>
      </c>
      <c r="D52" s="334">
        <v>74596.598062551304</v>
      </c>
      <c r="E52" s="334">
        <v>10</v>
      </c>
      <c r="F52" s="334">
        <v>159719.4</v>
      </c>
    </row>
    <row r="53" spans="1:6">
      <c r="A53" s="348" t="s">
        <v>44</v>
      </c>
      <c r="B53" s="348" t="s">
        <v>45</v>
      </c>
      <c r="C53" s="334">
        <v>1581</v>
      </c>
      <c r="D53" s="334">
        <v>15968550.071365099</v>
      </c>
      <c r="E53" s="334">
        <v>3971</v>
      </c>
      <c r="F53" s="334">
        <v>9665601</v>
      </c>
    </row>
    <row r="54" spans="1:6">
      <c r="A54" s="348" t="s">
        <v>46</v>
      </c>
      <c r="B54" s="348" t="s">
        <v>47</v>
      </c>
      <c r="C54" s="334">
        <v>0</v>
      </c>
      <c r="D54" s="334">
        <v>0</v>
      </c>
      <c r="E54" s="334">
        <v>1</v>
      </c>
      <c r="F54" s="334">
        <v>3022758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4596377.1529935701</v>
      </c>
      <c r="E57" s="334">
        <v>194</v>
      </c>
      <c r="F57" s="334">
        <v>6712568</v>
      </c>
    </row>
    <row r="58" spans="1:6">
      <c r="A58" s="348" t="s">
        <v>49</v>
      </c>
      <c r="B58" s="348" t="s">
        <v>51</v>
      </c>
      <c r="C58" s="334">
        <v>70</v>
      </c>
      <c r="D58" s="334">
        <v>1168560.3757269401</v>
      </c>
      <c r="E58" s="334">
        <v>125</v>
      </c>
      <c r="F58" s="334">
        <v>572110.19999999995</v>
      </c>
    </row>
    <row r="59" spans="1:6">
      <c r="A59" s="348" t="s">
        <v>49</v>
      </c>
      <c r="B59" s="348" t="s">
        <v>52</v>
      </c>
      <c r="C59" s="334">
        <v>274</v>
      </c>
      <c r="D59" s="334">
        <v>5590421.6017490402</v>
      </c>
      <c r="E59" s="334">
        <v>530</v>
      </c>
      <c r="F59" s="334">
        <v>10635405</v>
      </c>
    </row>
    <row r="60" spans="1:6">
      <c r="A60" s="348" t="s">
        <v>49</v>
      </c>
      <c r="B60" s="348" t="s">
        <v>53</v>
      </c>
      <c r="C60" s="334">
        <v>611</v>
      </c>
      <c r="D60" s="334">
        <v>23477585.699072901</v>
      </c>
      <c r="E60" s="334">
        <v>582</v>
      </c>
      <c r="F60" s="334">
        <v>13247123</v>
      </c>
    </row>
    <row r="61" spans="1:6">
      <c r="A61" s="348" t="s">
        <v>49</v>
      </c>
      <c r="B61" s="348" t="s">
        <v>54</v>
      </c>
      <c r="C61" s="334">
        <v>772</v>
      </c>
      <c r="D61" s="334">
        <v>23029027.191135</v>
      </c>
      <c r="E61" s="334">
        <v>2647</v>
      </c>
      <c r="F61" s="334">
        <v>12960211</v>
      </c>
    </row>
    <row r="62" spans="1:6">
      <c r="A62" s="348" t="s">
        <v>49</v>
      </c>
      <c r="B62" s="348" t="s">
        <v>55</v>
      </c>
      <c r="C62" s="334">
        <v>9</v>
      </c>
      <c r="D62" s="334">
        <v>641219.50033343898</v>
      </c>
      <c r="E62" s="334">
        <v>16</v>
      </c>
      <c r="F62" s="334">
        <v>374641.1</v>
      </c>
    </row>
    <row r="63" spans="1:6">
      <c r="A63" s="348" t="s">
        <v>49</v>
      </c>
      <c r="B63" s="348" t="s">
        <v>29</v>
      </c>
      <c r="C63" s="334">
        <v>105</v>
      </c>
      <c r="D63" s="334">
        <v>6927503.1551938001</v>
      </c>
      <c r="E63" s="334">
        <v>101</v>
      </c>
      <c r="F63" s="334">
        <v>3799295</v>
      </c>
    </row>
    <row r="64" spans="1:6">
      <c r="A64" s="348" t="s">
        <v>56</v>
      </c>
      <c r="B64" s="348" t="s">
        <v>57</v>
      </c>
      <c r="C64" s="334">
        <v>0</v>
      </c>
      <c r="D64" s="334">
        <v>0</v>
      </c>
      <c r="E64" s="334">
        <v>0</v>
      </c>
      <c r="F64" s="334">
        <v>0</v>
      </c>
    </row>
    <row r="65" spans="1:6">
      <c r="A65" s="348" t="s">
        <v>56</v>
      </c>
      <c r="B65" s="348" t="s">
        <v>29</v>
      </c>
      <c r="C65" s="334">
        <v>4</v>
      </c>
      <c r="D65" s="334">
        <v>82565.512297509107</v>
      </c>
      <c r="E65" s="334">
        <v>3</v>
      </c>
      <c r="F65" s="334">
        <v>30763.15</v>
      </c>
    </row>
    <row r="66" spans="1:6">
      <c r="A66" s="348" t="s">
        <v>56</v>
      </c>
      <c r="B66" s="348" t="s">
        <v>58</v>
      </c>
      <c r="C66" s="334">
        <v>0</v>
      </c>
      <c r="D66" s="334">
        <v>0</v>
      </c>
      <c r="E66" s="334">
        <v>26</v>
      </c>
      <c r="F66" s="334">
        <v>638058.1</v>
      </c>
    </row>
    <row r="67" spans="1:6">
      <c r="A67" s="355" t="s">
        <v>56</v>
      </c>
      <c r="B67" s="355" t="s">
        <v>59</v>
      </c>
      <c r="C67" s="334">
        <v>0</v>
      </c>
      <c r="D67" s="334">
        <v>0</v>
      </c>
      <c r="E67" s="334">
        <v>0</v>
      </c>
      <c r="F67" s="334">
        <v>0</v>
      </c>
    </row>
    <row r="68" spans="1:6">
      <c r="A68" s="341" t="s">
        <v>56</v>
      </c>
      <c r="B68" s="341" t="s">
        <v>60</v>
      </c>
      <c r="C68" s="334">
        <v>4</v>
      </c>
      <c r="D68" s="334">
        <v>55231.344265876702</v>
      </c>
      <c r="E68" s="334">
        <v>21</v>
      </c>
      <c r="F68" s="334">
        <v>593868.1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79709147</v>
      </c>
      <c r="E73" s="477">
        <v>91517359.836604685</v>
      </c>
    </row>
    <row r="74" spans="1:6">
      <c r="A74" s="348" t="s">
        <v>64</v>
      </c>
      <c r="B74" s="348" t="s">
        <v>714</v>
      </c>
      <c r="C74" s="1229" t="s">
        <v>716</v>
      </c>
      <c r="D74" s="477">
        <v>9077229.5420864876</v>
      </c>
      <c r="E74" s="477">
        <v>10488950.538261123</v>
      </c>
    </row>
    <row r="75" spans="1:6">
      <c r="A75" s="348" t="s">
        <v>65</v>
      </c>
      <c r="B75" s="348" t="s">
        <v>713</v>
      </c>
      <c r="C75" s="1229" t="s">
        <v>717</v>
      </c>
      <c r="D75" s="477">
        <v>6112140</v>
      </c>
      <c r="E75" s="477">
        <v>6737600.970772231</v>
      </c>
    </row>
    <row r="76" spans="1:6">
      <c r="A76" s="348" t="s">
        <v>65</v>
      </c>
      <c r="B76" s="348" t="s">
        <v>714</v>
      </c>
      <c r="C76" s="1229" t="s">
        <v>718</v>
      </c>
      <c r="D76" s="477">
        <v>96061.542086487752</v>
      </c>
      <c r="E76" s="477">
        <v>124725.40553353674</v>
      </c>
    </row>
    <row r="77" spans="1:6">
      <c r="A77" s="348" t="s">
        <v>66</v>
      </c>
      <c r="B77" s="348" t="s">
        <v>713</v>
      </c>
      <c r="C77" s="1229" t="s">
        <v>719</v>
      </c>
      <c r="D77" s="477">
        <v>14076856</v>
      </c>
      <c r="E77" s="477">
        <v>13985286.513891501</v>
      </c>
    </row>
    <row r="78" spans="1:6">
      <c r="A78" s="341" t="s">
        <v>66</v>
      </c>
      <c r="B78" s="341" t="s">
        <v>714</v>
      </c>
      <c r="C78" s="341" t="s">
        <v>720</v>
      </c>
      <c r="D78" s="1225">
        <v>4890060</v>
      </c>
      <c r="E78" s="1225">
        <v>5373030.847144709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348760.9158270245</v>
      </c>
      <c r="C83" s="477">
        <v>351738.10482869518</v>
      </c>
    </row>
    <row r="84" spans="1:6">
      <c r="A84" s="341" t="s">
        <v>337</v>
      </c>
      <c r="B84" s="1225">
        <v>381614.08445447381</v>
      </c>
      <c r="C84" s="1225">
        <v>385129.99932499946</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2720.6840044820051</v>
      </c>
    </row>
    <row r="92" spans="1:6">
      <c r="A92" s="341" t="s">
        <v>69</v>
      </c>
      <c r="B92" s="342">
        <v>591.70985750816237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5266</v>
      </c>
    </row>
    <row r="98" spans="1:6">
      <c r="A98" s="348" t="s">
        <v>72</v>
      </c>
      <c r="B98" s="334">
        <v>0</v>
      </c>
    </row>
    <row r="99" spans="1:6">
      <c r="A99" s="348" t="s">
        <v>73</v>
      </c>
      <c r="B99" s="334">
        <v>87</v>
      </c>
    </row>
    <row r="100" spans="1:6">
      <c r="A100" s="348" t="s">
        <v>74</v>
      </c>
      <c r="B100" s="334">
        <v>1499</v>
      </c>
    </row>
    <row r="101" spans="1:6">
      <c r="A101" s="348" t="s">
        <v>75</v>
      </c>
      <c r="B101" s="334">
        <v>72</v>
      </c>
    </row>
    <row r="102" spans="1:6">
      <c r="A102" s="348" t="s">
        <v>76</v>
      </c>
      <c r="B102" s="334">
        <v>190</v>
      </c>
    </row>
    <row r="103" spans="1:6">
      <c r="A103" s="348" t="s">
        <v>77</v>
      </c>
      <c r="B103" s="334">
        <v>69</v>
      </c>
    </row>
    <row r="104" spans="1:6">
      <c r="A104" s="348" t="s">
        <v>78</v>
      </c>
      <c r="B104" s="334">
        <v>1638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53</v>
      </c>
    </row>
    <row r="124" spans="1:6">
      <c r="A124" s="341" t="s">
        <v>89</v>
      </c>
      <c r="B124" s="334">
        <v>1</v>
      </c>
      <c r="C124" s="334">
        <v>11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4</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113601.81308343307</v>
      </c>
      <c r="C3" s="43" t="s">
        <v>170</v>
      </c>
      <c r="D3" s="43"/>
      <c r="E3" s="154"/>
      <c r="F3" s="43"/>
      <c r="G3" s="43"/>
      <c r="H3" s="43"/>
      <c r="I3" s="43"/>
      <c r="J3" s="43"/>
      <c r="K3" s="96"/>
    </row>
    <row r="4" spans="1:11">
      <c r="A4" s="384" t="s">
        <v>171</v>
      </c>
      <c r="B4" s="49">
        <f>IF(ISERROR('SEAP template'!B69),0,'SEAP template'!B69)</f>
        <v>3337.1438619901674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5.8817647058823539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0.21455972401376538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8.4025210084033635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35.357142857142861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3022.7579999999998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3022.7579999999998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0.21455972401376538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648.56212224040144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53588.436000000002</v>
      </c>
      <c r="C5" s="17">
        <f>IF(ISERROR('Eigen informatie GS &amp; warmtenet'!B57),0,'Eigen informatie GS &amp; warmtenet'!B57)</f>
        <v>0</v>
      </c>
      <c r="D5" s="30">
        <f>(SUM(HH_hh_gas_kWh,HH_rest_gas_kWh)/1000)*0.902</f>
        <v>111545.37386428982</v>
      </c>
      <c r="E5" s="17">
        <f>B46*B57</f>
        <v>0</v>
      </c>
      <c r="F5" s="17">
        <f>B51*B62</f>
        <v>0</v>
      </c>
      <c r="G5" s="18"/>
      <c r="H5" s="17"/>
      <c r="I5" s="17"/>
      <c r="J5" s="17">
        <f>B50*B61+C50*C61</f>
        <v>0</v>
      </c>
      <c r="K5" s="17"/>
      <c r="L5" s="17"/>
      <c r="M5" s="17"/>
      <c r="N5" s="17">
        <f>B48*B59+C48*C59</f>
        <v>0</v>
      </c>
      <c r="O5" s="17">
        <f>B69*B70*B71</f>
        <v>337.68</v>
      </c>
      <c r="P5" s="17">
        <f>B77*B78*B79/1000-B77*B78*B79/1000/B80</f>
        <v>724.5333333333333</v>
      </c>
    </row>
    <row r="6" spans="1:16">
      <c r="A6" s="16" t="s">
        <v>631</v>
      </c>
      <c r="B6" s="844">
        <f>kWh_PV_kleiner_dan_10kW</f>
        <v>2720.6840044820051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56309.120004482007</v>
      </c>
      <c r="C8" s="21">
        <f>C5</f>
        <v>0</v>
      </c>
      <c r="D8" s="21">
        <f>D5</f>
        <v>111545.37386428982</v>
      </c>
      <c r="E8" s="21">
        <f>E5</f>
        <v>0</v>
      </c>
      <c r="F8" s="21">
        <f>F5</f>
        <v>0</v>
      </c>
      <c r="G8" s="21"/>
      <c r="H8" s="21"/>
      <c r="I8" s="21"/>
      <c r="J8" s="21">
        <f>J5</f>
        <v>0</v>
      </c>
      <c r="K8" s="21"/>
      <c r="L8" s="21">
        <f>L5</f>
        <v>0</v>
      </c>
      <c r="M8" s="21">
        <f>M5</f>
        <v>0</v>
      </c>
      <c r="N8" s="21">
        <f>N5</f>
        <v>0</v>
      </c>
      <c r="O8" s="21">
        <f>O5</f>
        <v>337.68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0.21455972401376538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12081.669247619655</v>
      </c>
      <c r="C12" s="23">
        <f ca="1">C10*C8</f>
        <v>0</v>
      </c>
      <c r="D12" s="23">
        <f>D8*D10</f>
        <v>22532.165520586546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5266</v>
      </c>
      <c r="C18" s="166" t="s">
        <v>111</v>
      </c>
      <c r="D18" s="228"/>
      <c r="E18" s="15"/>
    </row>
    <row r="19" spans="1:7">
      <c r="A19" s="171" t="s">
        <v>72</v>
      </c>
      <c r="B19" s="37">
        <f>aantalw2001_ander</f>
        <v>0</v>
      </c>
      <c r="C19" s="166" t="s">
        <v>111</v>
      </c>
      <c r="D19" s="229"/>
      <c r="E19" s="15"/>
    </row>
    <row r="20" spans="1:7">
      <c r="A20" s="171" t="s">
        <v>73</v>
      </c>
      <c r="B20" s="37">
        <f>aantalw2001_propaan</f>
        <v>87</v>
      </c>
      <c r="C20" s="167">
        <f>IF(ISERROR(B20/SUM($B$20,$B$21,$B$22)*100),0,B20/SUM($B$20,$B$21,$B$22)*100)</f>
        <v>5.2472858866103742</v>
      </c>
      <c r="D20" s="229"/>
      <c r="E20" s="15"/>
    </row>
    <row r="21" spans="1:7">
      <c r="A21" s="171" t="s">
        <v>74</v>
      </c>
      <c r="B21" s="37">
        <f>aantalw2001_elektriciteit</f>
        <v>1499</v>
      </c>
      <c r="C21" s="167">
        <f>IF(ISERROR(B21/SUM($B$20,$B$21,$B$22)*100),0,B21/SUM($B$20,$B$21,$B$22)*100)</f>
        <v>90.410132689987933</v>
      </c>
      <c r="D21" s="229"/>
      <c r="E21" s="15"/>
    </row>
    <row r="22" spans="1:7">
      <c r="A22" s="171" t="s">
        <v>75</v>
      </c>
      <c r="B22" s="37">
        <f>aantalw2001_hout</f>
        <v>72</v>
      </c>
      <c r="C22" s="167">
        <f>IF(ISERROR(B22/SUM($B$20,$B$21,$B$22)*100),0,B22/SUM($B$20,$B$21,$B$22)*100)</f>
        <v>4.3425814234016888</v>
      </c>
      <c r="D22" s="229"/>
      <c r="E22" s="15"/>
    </row>
    <row r="23" spans="1:7">
      <c r="A23" s="171" t="s">
        <v>76</v>
      </c>
      <c r="B23" s="37">
        <f>aantalw2001_niet_gespec</f>
        <v>190</v>
      </c>
      <c r="C23" s="166" t="s">
        <v>111</v>
      </c>
      <c r="D23" s="228"/>
      <c r="E23" s="15"/>
    </row>
    <row r="24" spans="1:7">
      <c r="A24" s="171" t="s">
        <v>77</v>
      </c>
      <c r="B24" s="37">
        <f>aantalw2001_steenkool</f>
        <v>69</v>
      </c>
      <c r="C24" s="166" t="s">
        <v>111</v>
      </c>
      <c r="D24" s="229"/>
      <c r="E24" s="15"/>
    </row>
    <row r="25" spans="1:7">
      <c r="A25" s="171" t="s">
        <v>78</v>
      </c>
      <c r="B25" s="37">
        <f>aantalw2001_stookolie</f>
        <v>1638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11123</v>
      </c>
      <c r="C28" s="36"/>
      <c r="D28" s="228"/>
    </row>
    <row r="29" spans="1:7" s="15" customFormat="1">
      <c r="A29" s="230" t="s">
        <v>741</v>
      </c>
      <c r="B29" s="37">
        <f>SUM(HH_hh_gas_aantal,HH_rest_gas_aantal)</f>
        <v>12144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12144</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12144</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48301.353300000002</v>
      </c>
      <c r="C5" s="17">
        <f>IF(ISERROR('Eigen informatie GS &amp; warmtenet'!B58),0,'Eigen informatie GS &amp; warmtenet'!B58)</f>
        <v>0</v>
      </c>
      <c r="D5" s="30">
        <f>SUM(D6:D12)</f>
        <v>59018.486597936622</v>
      </c>
      <c r="E5" s="17">
        <f>SUM(E6:E12)</f>
        <v>765.92668092990982</v>
      </c>
      <c r="F5" s="17">
        <f>SUM(F6:F12)</f>
        <v>7917.0473939863123</v>
      </c>
      <c r="G5" s="18"/>
      <c r="H5" s="17"/>
      <c r="I5" s="17"/>
      <c r="J5" s="17">
        <f>SUM(J6:J12)</f>
        <v>0</v>
      </c>
      <c r="K5" s="17"/>
      <c r="L5" s="17"/>
      <c r="M5" s="17"/>
      <c r="N5" s="17">
        <f>SUM(N6:N12)</f>
        <v>5276.8037054218566</v>
      </c>
      <c r="O5" s="17">
        <f>B38*B39*B40</f>
        <v>6.2533333333333339</v>
      </c>
      <c r="P5" s="17">
        <f>B46*B47*B48/1000-B46*B47*B48/1000/B49</f>
        <v>38.133333333333333</v>
      </c>
      <c r="R5" s="32"/>
    </row>
    <row r="6" spans="1:18">
      <c r="A6" s="32" t="s">
        <v>54</v>
      </c>
      <c r="B6" s="37">
        <f>B26</f>
        <v>12960.210999999999</v>
      </c>
      <c r="C6" s="33"/>
      <c r="D6" s="37">
        <f>IF(ISERROR(TER_kantoor_gas_kWh/1000),0,TER_kantoor_gas_kWh/1000)*0.902</f>
        <v>20772.182526403769</v>
      </c>
      <c r="E6" s="33">
        <f>$C$26*'E Balans VL '!I12/100/3.6*1000000</f>
        <v>37.547632799576945</v>
      </c>
      <c r="F6" s="33">
        <f>$C$26*('E Balans VL '!L12+'E Balans VL '!N12)/100/3.6*1000000</f>
        <v>1466.8103496134261</v>
      </c>
      <c r="G6" s="34"/>
      <c r="H6" s="33"/>
      <c r="I6" s="33"/>
      <c r="J6" s="33">
        <f>$C$26*('E Balans VL '!D12+'E Balans VL '!E12)/100/3.6*1000000</f>
        <v>0</v>
      </c>
      <c r="K6" s="33"/>
      <c r="L6" s="33"/>
      <c r="M6" s="33"/>
      <c r="N6" s="33">
        <f>$C$26*'E Balans VL '!Y12/100/3.6*1000000</f>
        <v>129.72216260016137</v>
      </c>
      <c r="O6" s="33"/>
      <c r="P6" s="33"/>
      <c r="R6" s="32"/>
    </row>
    <row r="7" spans="1:18">
      <c r="A7" s="32" t="s">
        <v>53</v>
      </c>
      <c r="B7" s="37">
        <f t="shared" ref="B7:B12" si="0">B27</f>
        <v>13247.123</v>
      </c>
      <c r="C7" s="33"/>
      <c r="D7" s="37">
        <f>IF(ISERROR(TER_horeca_gas_kWh/1000),0,TER_horeca_gas_kWh/1000)*0.902</f>
        <v>21176.782300563758</v>
      </c>
      <c r="E7" s="33">
        <f>$C$27*'E Balans VL '!I9/100/3.6*1000000</f>
        <v>556.07721180983174</v>
      </c>
      <c r="F7" s="33">
        <f>$C$27*('E Balans VL '!L9+'E Balans VL '!N9)/100/3.6*1000000</f>
        <v>2846.4160343926515</v>
      </c>
      <c r="G7" s="34"/>
      <c r="H7" s="33"/>
      <c r="I7" s="33"/>
      <c r="J7" s="33">
        <f>$C$27*('E Balans VL '!D9+'E Balans VL '!E9)/100/3.6*1000000</f>
        <v>0</v>
      </c>
      <c r="K7" s="33"/>
      <c r="L7" s="33"/>
      <c r="M7" s="33"/>
      <c r="N7" s="33">
        <f>$C$27*'E Balans VL '!Y9/100/3.6*1000000</f>
        <v>3.4136677468066279</v>
      </c>
      <c r="O7" s="33"/>
      <c r="P7" s="33"/>
      <c r="R7" s="32"/>
    </row>
    <row r="8" spans="1:18">
      <c r="A8" s="6" t="s">
        <v>52</v>
      </c>
      <c r="B8" s="37">
        <f t="shared" si="0"/>
        <v>10635.405000000001</v>
      </c>
      <c r="C8" s="33"/>
      <c r="D8" s="37">
        <f>IF(ISERROR(TER_handel_gas_kWh/1000),0,TER_handel_gas_kWh/1000)*0.902</f>
        <v>5042.5602847776345</v>
      </c>
      <c r="E8" s="33">
        <f>$C$28*'E Balans VL '!I13/100/3.6*1000000</f>
        <v>114.23310129596079</v>
      </c>
      <c r="F8" s="33">
        <f>$C$28*('E Balans VL '!L13+'E Balans VL '!N13)/100/3.6*1000000</f>
        <v>1376.8410026139884</v>
      </c>
      <c r="G8" s="34"/>
      <c r="H8" s="33"/>
      <c r="I8" s="33"/>
      <c r="J8" s="33">
        <f>$C$28*('E Balans VL '!D13+'E Balans VL '!E13)/100/3.6*1000000</f>
        <v>0</v>
      </c>
      <c r="K8" s="33"/>
      <c r="L8" s="33"/>
      <c r="M8" s="33"/>
      <c r="N8" s="33">
        <f>$C$28*'E Balans VL '!Y13/100/3.6*1000000</f>
        <v>86.27498607836236</v>
      </c>
      <c r="O8" s="33"/>
      <c r="P8" s="33"/>
      <c r="R8" s="32"/>
    </row>
    <row r="9" spans="1:18">
      <c r="A9" s="32" t="s">
        <v>51</v>
      </c>
      <c r="B9" s="37">
        <f t="shared" si="0"/>
        <v>572.11019999999996</v>
      </c>
      <c r="C9" s="33"/>
      <c r="D9" s="37">
        <f>IF(ISERROR(TER_gezond_gas_kWh/1000),0,TER_gezond_gas_kWh/1000)*0.902</f>
        <v>1054.0414589057</v>
      </c>
      <c r="E9" s="33">
        <f>$C$29*'E Balans VL '!I10/100/3.6*1000000</f>
        <v>0.45543672229639376</v>
      </c>
      <c r="F9" s="33">
        <f>$C$29*('E Balans VL '!L10+'E Balans VL '!N10)/100/3.6*1000000</f>
        <v>69.548262547068433</v>
      </c>
      <c r="G9" s="34"/>
      <c r="H9" s="33"/>
      <c r="I9" s="33"/>
      <c r="J9" s="33">
        <f>$C$29*('E Balans VL '!D10+'E Balans VL '!E10)/100/3.6*1000000</f>
        <v>0</v>
      </c>
      <c r="K9" s="33"/>
      <c r="L9" s="33"/>
      <c r="M9" s="33"/>
      <c r="N9" s="33">
        <f>$C$29*'E Balans VL '!Y10/100/3.6*1000000</f>
        <v>4.6213546249612625</v>
      </c>
      <c r="O9" s="33"/>
      <c r="P9" s="33"/>
      <c r="R9" s="32"/>
    </row>
    <row r="10" spans="1:18">
      <c r="A10" s="32" t="s">
        <v>50</v>
      </c>
      <c r="B10" s="37">
        <f t="shared" si="0"/>
        <v>6712.5680000000002</v>
      </c>
      <c r="C10" s="33"/>
      <c r="D10" s="37">
        <f>IF(ISERROR(TER_ander_gas_kWh/1000),0,TER_ander_gas_kWh/1000)*0.902</f>
        <v>4145.9321920002003</v>
      </c>
      <c r="E10" s="33">
        <f>$C$30*'E Balans VL '!I14/100/3.6*1000000</f>
        <v>23.004323169120109</v>
      </c>
      <c r="F10" s="33">
        <f>$C$30*('E Balans VL '!L14+'E Balans VL '!N14)/100/3.6*1000000</f>
        <v>1499.3149245674349</v>
      </c>
      <c r="G10" s="34"/>
      <c r="H10" s="33"/>
      <c r="I10" s="33"/>
      <c r="J10" s="33">
        <f>$C$30*('E Balans VL '!D14+'E Balans VL '!E14)/100/3.6*1000000</f>
        <v>0</v>
      </c>
      <c r="K10" s="33"/>
      <c r="L10" s="33"/>
      <c r="M10" s="33"/>
      <c r="N10" s="33">
        <f>$C$30*'E Balans VL '!Y14/100/3.6*1000000</f>
        <v>4728.3695692421843</v>
      </c>
      <c r="O10" s="33"/>
      <c r="P10" s="33"/>
      <c r="R10" s="32"/>
    </row>
    <row r="11" spans="1:18">
      <c r="A11" s="32" t="s">
        <v>55</v>
      </c>
      <c r="B11" s="37">
        <f t="shared" si="0"/>
        <v>374.64109999999999</v>
      </c>
      <c r="C11" s="33"/>
      <c r="D11" s="37">
        <f>IF(ISERROR(TER_onderwijs_gas_kWh/1000),0,TER_onderwijs_gas_kWh/1000)*0.902</f>
        <v>578.37998930076196</v>
      </c>
      <c r="E11" s="33">
        <f>$C$31*'E Balans VL '!I11/100/3.6*1000000</f>
        <v>0.25897785439217791</v>
      </c>
      <c r="F11" s="33">
        <f>$C$31*('E Balans VL '!L11+'E Balans VL '!N11)/100/3.6*1000000</f>
        <v>98.07015739444617</v>
      </c>
      <c r="G11" s="34"/>
      <c r="H11" s="33"/>
      <c r="I11" s="33"/>
      <c r="J11" s="33">
        <f>$C$31*('E Balans VL '!D11+'E Balans VL '!E11)/100/3.6*1000000</f>
        <v>0</v>
      </c>
      <c r="K11" s="33"/>
      <c r="L11" s="33"/>
      <c r="M11" s="33"/>
      <c r="N11" s="33">
        <f>$C$31*'E Balans VL '!Y11/100/3.6*1000000</f>
        <v>0.37292330561030196</v>
      </c>
      <c r="O11" s="33"/>
      <c r="P11" s="33"/>
      <c r="R11" s="32"/>
    </row>
    <row r="12" spans="1:18">
      <c r="A12" s="32" t="s">
        <v>260</v>
      </c>
      <c r="B12" s="37">
        <f t="shared" si="0"/>
        <v>3799.2950000000001</v>
      </c>
      <c r="C12" s="33"/>
      <c r="D12" s="37">
        <f>IF(ISERROR(TER_rest_gas_kWh/1000),0,TER_rest_gas_kWh/1000)*0.902</f>
        <v>6248.6078459848077</v>
      </c>
      <c r="E12" s="33">
        <f>$C$32*'E Balans VL '!I8/100/3.6*1000000</f>
        <v>34.349997278731756</v>
      </c>
      <c r="F12" s="33">
        <f>$C$32*('E Balans VL '!L8+'E Balans VL '!N8)/100/3.6*1000000</f>
        <v>560.04666285729695</v>
      </c>
      <c r="G12" s="34"/>
      <c r="H12" s="33"/>
      <c r="I12" s="33"/>
      <c r="J12" s="33">
        <f>$C$32*('E Balans VL '!D8+'E Balans VL '!E8)/100/3.6*1000000</f>
        <v>0</v>
      </c>
      <c r="K12" s="33"/>
      <c r="L12" s="33"/>
      <c r="M12" s="33"/>
      <c r="N12" s="33">
        <f>$C$32*'E Balans VL '!Y8/100/3.6*1000000</f>
        <v>324.02904182377091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48301.353300000002</v>
      </c>
      <c r="C16" s="21">
        <f t="shared" ca="1" si="1"/>
        <v>0</v>
      </c>
      <c r="D16" s="21">
        <f t="shared" ca="1" si="1"/>
        <v>59018.486597936622</v>
      </c>
      <c r="E16" s="21">
        <f t="shared" si="1"/>
        <v>765.92668092990982</v>
      </c>
      <c r="F16" s="21">
        <f t="shared" ca="1" si="1"/>
        <v>7917.0473939863123</v>
      </c>
      <c r="G16" s="21">
        <f t="shared" si="1"/>
        <v>0</v>
      </c>
      <c r="H16" s="21">
        <f t="shared" si="1"/>
        <v>0</v>
      </c>
      <c r="I16" s="21">
        <f t="shared" si="1"/>
        <v>0</v>
      </c>
      <c r="J16" s="21">
        <f t="shared" si="1"/>
        <v>0</v>
      </c>
      <c r="K16" s="21">
        <f t="shared" si="1"/>
        <v>0</v>
      </c>
      <c r="L16" s="21">
        <f t="shared" ca="1" si="1"/>
        <v>0</v>
      </c>
      <c r="M16" s="21">
        <f t="shared" si="1"/>
        <v>0</v>
      </c>
      <c r="N16" s="21">
        <f t="shared" ca="1" si="1"/>
        <v>5276.8037054218566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0.21455972401376538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10363.525033539376</v>
      </c>
      <c r="C20" s="23">
        <f t="shared" ref="C20:P20" ca="1" si="2">C16*C18</f>
        <v>0</v>
      </c>
      <c r="D20" s="23">
        <f t="shared" ca="1" si="2"/>
        <v>11921.734292783198</v>
      </c>
      <c r="E20" s="23">
        <f t="shared" si="2"/>
        <v>173.86535657108954</v>
      </c>
      <c r="F20" s="23">
        <f t="shared" ca="1" si="2"/>
        <v>2113.8516541943454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12960.210999999999</v>
      </c>
      <c r="C26" s="39">
        <f>IF(ISERROR(B26*3.6/1000000/'E Balans VL '!Z12*100),0,B26*3.6/1000000/'E Balans VL '!Z12*100)</f>
        <v>0.28468601811932281</v>
      </c>
      <c r="D26" s="237" t="s">
        <v>692</v>
      </c>
      <c r="F26" s="6"/>
    </row>
    <row r="27" spans="1:18">
      <c r="A27" s="231" t="s">
        <v>53</v>
      </c>
      <c r="B27" s="33">
        <f>IF(ISERROR(TER_horeca_ele_kWh/1000),0,TER_horeca_ele_kWh/1000)</f>
        <v>13247.123</v>
      </c>
      <c r="C27" s="39">
        <f>IF(ISERROR(B27*3.6/1000000/'E Balans VL '!Z9*100),0,B27*3.6/1000000/'E Balans VL '!Z9*100)</f>
        <v>1.0645383819317038</v>
      </c>
      <c r="D27" s="237" t="s">
        <v>692</v>
      </c>
      <c r="F27" s="6"/>
    </row>
    <row r="28" spans="1:18">
      <c r="A28" s="171" t="s">
        <v>52</v>
      </c>
      <c r="B28" s="33">
        <f>IF(ISERROR(TER_handel_ele_kWh/1000),0,TER_handel_ele_kWh/1000)</f>
        <v>10635.405000000001</v>
      </c>
      <c r="C28" s="39">
        <f>IF(ISERROR(B28*3.6/1000000/'E Balans VL '!Z13*100),0,B28*3.6/1000000/'E Balans VL '!Z13*100)</f>
        <v>0.31448149580006141</v>
      </c>
      <c r="D28" s="237" t="s">
        <v>692</v>
      </c>
      <c r="F28" s="6"/>
    </row>
    <row r="29" spans="1:18">
      <c r="A29" s="231" t="s">
        <v>51</v>
      </c>
      <c r="B29" s="33">
        <f>IF(ISERROR(TER_gezond_ele_kWh/1000),0,TER_gezond_ele_kWh/1000)</f>
        <v>572.11019999999996</v>
      </c>
      <c r="C29" s="39">
        <f>IF(ISERROR(B29*3.6/1000000/'E Balans VL '!Z10*100),0,B29*3.6/1000000/'E Balans VL '!Z10*100)</f>
        <v>6.4462048956666212E-2</v>
      </c>
      <c r="D29" s="237" t="s">
        <v>692</v>
      </c>
      <c r="F29" s="6"/>
    </row>
    <row r="30" spans="1:18">
      <c r="A30" s="231" t="s">
        <v>50</v>
      </c>
      <c r="B30" s="33">
        <f>IF(ISERROR(TER_ander_ele_kWh/1000),0,TER_ander_ele_kWh/1000)</f>
        <v>6712.5680000000002</v>
      </c>
      <c r="C30" s="39">
        <f>IF(ISERROR(B30*3.6/1000000/'E Balans VL '!Z14*100),0,B30*3.6/1000000/'E Balans VL '!Z14*100)</f>
        <v>0.50766004322331315</v>
      </c>
      <c r="D30" s="237" t="s">
        <v>692</v>
      </c>
      <c r="F30" s="6"/>
    </row>
    <row r="31" spans="1:18">
      <c r="A31" s="231" t="s">
        <v>55</v>
      </c>
      <c r="B31" s="33">
        <f>IF(ISERROR(TER_onderwijs_ele_kWh/1000),0,TER_onderwijs_ele_kWh/1000)</f>
        <v>374.64109999999999</v>
      </c>
      <c r="C31" s="39">
        <f>IF(ISERROR(B31*3.6/1000000/'E Balans VL '!Z11*100),0,B31*3.6/1000000/'E Balans VL '!Z11*100)</f>
        <v>7.7766795440225966E-2</v>
      </c>
      <c r="D31" s="237" t="s">
        <v>692</v>
      </c>
    </row>
    <row r="32" spans="1:18">
      <c r="A32" s="231" t="s">
        <v>260</v>
      </c>
      <c r="B32" s="33">
        <f>IF(ISERROR(TER_rest_ele_kWh/1000),0,TER_rest_ele_kWh/1000)</f>
        <v>3799.2950000000001</v>
      </c>
      <c r="C32" s="39">
        <f>IF(ISERROR(B32*3.6/1000000/'E Balans VL '!Z8*100),0,B32*3.6/1000000/'E Balans VL '!Z8*100)</f>
        <v>3.2006825325440663E-2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3559.1724389999995</v>
      </c>
      <c r="C5" s="17">
        <f>IF(ISERROR('Eigen informatie GS &amp; warmtenet'!B59),0,'Eigen informatie GS &amp; warmtenet'!B59)</f>
        <v>0</v>
      </c>
      <c r="D5" s="30">
        <f>SUM(D6:D15)</f>
        <v>3957.3619521920832</v>
      </c>
      <c r="E5" s="17">
        <f>SUM(E6:E15)</f>
        <v>628.89141359998223</v>
      </c>
      <c r="F5" s="17">
        <f>SUM(F6:F15)</f>
        <v>3748.0549271515256</v>
      </c>
      <c r="G5" s="18"/>
      <c r="H5" s="17"/>
      <c r="I5" s="17"/>
      <c r="J5" s="17">
        <f>SUM(J6:J15)</f>
        <v>25.266153815466541</v>
      </c>
      <c r="K5" s="17"/>
      <c r="L5" s="17"/>
      <c r="M5" s="17"/>
      <c r="N5" s="17">
        <f>SUM(N6:N15)</f>
        <v>1306.786444224532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102.19369999999999</v>
      </c>
      <c r="C8" s="33"/>
      <c r="D8" s="37">
        <f>IF( ISERROR(IND_metaal_Gas_kWH/1000),0,IND_metaal_Gas_kWH/1000)*0.902</f>
        <v>15.065197220787818</v>
      </c>
      <c r="E8" s="33">
        <f>C30*'E Balans VL '!I18/100/3.6*1000000</f>
        <v>2.5575506407125861</v>
      </c>
      <c r="F8" s="33">
        <f>C30*'E Balans VL '!L18/100/3.6*1000000+C30*'E Balans VL '!N18/100/3.6*1000000</f>
        <v>32.028013917606565</v>
      </c>
      <c r="G8" s="34"/>
      <c r="H8" s="33"/>
      <c r="I8" s="33"/>
      <c r="J8" s="40">
        <f>C30*'E Balans VL '!D18/100/3.6*1000000+C30*'E Balans VL '!E18/100/3.6*1000000</f>
        <v>0</v>
      </c>
      <c r="K8" s="33"/>
      <c r="L8" s="33"/>
      <c r="M8" s="33"/>
      <c r="N8" s="33">
        <f>C30*'E Balans VL '!Y18/100/3.6*1000000</f>
        <v>2.5673709597784944</v>
      </c>
      <c r="O8" s="33"/>
      <c r="P8" s="33"/>
      <c r="R8" s="32"/>
    </row>
    <row r="9" spans="1:18">
      <c r="A9" s="6" t="s">
        <v>33</v>
      </c>
      <c r="B9" s="37">
        <f t="shared" si="0"/>
        <v>2206.5039999999999</v>
      </c>
      <c r="C9" s="33"/>
      <c r="D9" s="37">
        <f>IF( ISERROR(IND_andere_gas_kWh/1000),0,IND_andere_gas_kWh/1000)*0.902</f>
        <v>2360.3913209541101</v>
      </c>
      <c r="E9" s="33">
        <f>C31*'E Balans VL '!I19/100/3.6*1000000</f>
        <v>606.69810011577101</v>
      </c>
      <c r="F9" s="33">
        <f>C31*'E Balans VL '!L19/100/3.6*1000000+C31*'E Balans VL '!N19/100/3.6*1000000</f>
        <v>1739.1091112634915</v>
      </c>
      <c r="G9" s="34"/>
      <c r="H9" s="33"/>
      <c r="I9" s="33"/>
      <c r="J9" s="40">
        <f>C31*'E Balans VL '!D19/100/3.6*1000000+C31*'E Balans VL '!E19/100/3.6*1000000</f>
        <v>0</v>
      </c>
      <c r="K9" s="33"/>
      <c r="L9" s="33"/>
      <c r="M9" s="33"/>
      <c r="N9" s="33">
        <f>C31*'E Balans VL '!Y19/100/3.6*1000000</f>
        <v>714.30358675944024</v>
      </c>
      <c r="O9" s="33"/>
      <c r="P9" s="33"/>
      <c r="R9" s="32"/>
    </row>
    <row r="10" spans="1:18">
      <c r="A10" s="6" t="s">
        <v>41</v>
      </c>
      <c r="B10" s="37">
        <f t="shared" si="0"/>
        <v>1024.3720000000001</v>
      </c>
      <c r="C10" s="33"/>
      <c r="D10" s="37">
        <f>IF( ISERROR(IND_voed_gas_kWh/1000),0,IND_voed_gas_kWh/1000)*0.902</f>
        <v>1156.1597902415167</v>
      </c>
      <c r="E10" s="33">
        <f>C32*'E Balans VL '!I20/100/3.6*1000000</f>
        <v>10.44290821024512</v>
      </c>
      <c r="F10" s="33">
        <f>C32*'E Balans VL '!L20/100/3.6*1000000+C32*'E Balans VL '!N20/100/3.6*1000000</f>
        <v>1935.0323011715973</v>
      </c>
      <c r="G10" s="34"/>
      <c r="H10" s="33"/>
      <c r="I10" s="33"/>
      <c r="J10" s="40">
        <f>C32*'E Balans VL '!D20/100/3.6*1000000+C32*'E Balans VL '!E20/100/3.6*1000000</f>
        <v>24.51657372035875</v>
      </c>
      <c r="K10" s="33"/>
      <c r="L10" s="33"/>
      <c r="M10" s="33"/>
      <c r="N10" s="33">
        <f>C32*'E Balans VL '!Y20/100/3.6*1000000</f>
        <v>539.96203718565482</v>
      </c>
      <c r="O10" s="33"/>
      <c r="P10" s="33"/>
      <c r="R10" s="32"/>
    </row>
    <row r="11" spans="1:18">
      <c r="A11" s="6" t="s">
        <v>40</v>
      </c>
      <c r="B11" s="37">
        <f t="shared" si="0"/>
        <v>8.8272890000000004</v>
      </c>
      <c r="C11" s="33"/>
      <c r="D11" s="37">
        <f>IF( ISERROR(IND_textiel_gas_kWh/1000),0,IND_textiel_gas_kWh/1000)*0.902</f>
        <v>0</v>
      </c>
      <c r="E11" s="33">
        <f>C33*'E Balans VL '!I21/100/3.6*1000000</f>
        <v>2.3396634314277891E-2</v>
      </c>
      <c r="F11" s="33">
        <f>C33*'E Balans VL '!L21/100/3.6*1000000+C33*'E Balans VL '!N21/100/3.6*1000000</f>
        <v>0.39423583276665619</v>
      </c>
      <c r="G11" s="34"/>
      <c r="H11" s="33"/>
      <c r="I11" s="33"/>
      <c r="J11" s="40">
        <f>C33*'E Balans VL '!D21/100/3.6*1000000+C33*'E Balans VL '!E21/100/3.6*1000000</f>
        <v>0</v>
      </c>
      <c r="K11" s="33"/>
      <c r="L11" s="33"/>
      <c r="M11" s="33"/>
      <c r="N11" s="33">
        <f>C33*'E Balans VL '!Y21/100/3.6*1000000</f>
        <v>8.31908887070998E-2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38.605350000000001</v>
      </c>
      <c r="C13" s="33"/>
      <c r="D13" s="37">
        <f>IF( ISERROR(IND_papier_gas_kWh/1000),0,IND_papier_gas_kWh/1000)*0.902</f>
        <v>123.45182497044352</v>
      </c>
      <c r="E13" s="33">
        <f>C35*'E Balans VL '!I23/100/3.6*1000000</f>
        <v>7.9954285648378476E-2</v>
      </c>
      <c r="F13" s="33">
        <f>C35*'E Balans VL '!L23/100/3.6*1000000+C35*'E Balans VL '!N23/100/3.6*1000000</f>
        <v>0.76562685379230877</v>
      </c>
      <c r="G13" s="34"/>
      <c r="H13" s="33"/>
      <c r="I13" s="33"/>
      <c r="J13" s="40">
        <f>C35*'E Balans VL '!D23/100/3.6*1000000+C35*'E Balans VL '!E23/100/3.6*1000000</f>
        <v>0</v>
      </c>
      <c r="K13" s="33"/>
      <c r="L13" s="33"/>
      <c r="M13" s="33"/>
      <c r="N13" s="33">
        <f>C35*'E Balans VL '!Y23/100/3.6*1000000</f>
        <v>16.301026761015791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178.67010000000002</v>
      </c>
      <c r="C15" s="33"/>
      <c r="D15" s="37">
        <f>IF( ISERROR(IND_rest_gas_kWh/1000),0,IND_rest_gas_kWh/1000)*0.902</f>
        <v>302.2938188052255</v>
      </c>
      <c r="E15" s="33">
        <f>C37*'E Balans VL '!I15/100/3.6*1000000</f>
        <v>9.0895037132908403</v>
      </c>
      <c r="F15" s="33">
        <f>C37*'E Balans VL '!L15/100/3.6*1000000+C37*'E Balans VL '!N15/100/3.6*1000000</f>
        <v>40.72563811227139</v>
      </c>
      <c r="G15" s="34"/>
      <c r="H15" s="33"/>
      <c r="I15" s="33"/>
      <c r="J15" s="40">
        <f>C37*'E Balans VL '!D15/100/3.6*1000000+C37*'E Balans VL '!E15/100/3.6*1000000</f>
        <v>0.74958009510779089</v>
      </c>
      <c r="K15" s="33"/>
      <c r="L15" s="33"/>
      <c r="M15" s="33"/>
      <c r="N15" s="33">
        <f>C37*'E Balans VL '!Y15/100/3.6*1000000</f>
        <v>33.569231669935789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3559.1724389999995</v>
      </c>
      <c r="C18" s="21">
        <f>C5+C16</f>
        <v>0</v>
      </c>
      <c r="D18" s="21">
        <f>MAX((D5+D16),0)</f>
        <v>3957.3619521920832</v>
      </c>
      <c r="E18" s="21">
        <f>MAX((E5+E16),0)</f>
        <v>628.89141359998223</v>
      </c>
      <c r="F18" s="21">
        <f>MAX((F5+F16),0)</f>
        <v>3748.0549271515256</v>
      </c>
      <c r="G18" s="21"/>
      <c r="H18" s="21"/>
      <c r="I18" s="21"/>
      <c r="J18" s="21">
        <f>MAX((J5+J16),0)</f>
        <v>25.266153815466541</v>
      </c>
      <c r="K18" s="21"/>
      <c r="L18" s="21">
        <f>MAX((L5+L16),0)</f>
        <v>0</v>
      </c>
      <c r="M18" s="21"/>
      <c r="N18" s="21">
        <f>MAX((N5+N16),0)</f>
        <v>1306.786444224532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0.21455972401376538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763.65505622924013</v>
      </c>
      <c r="C22" s="23">
        <f ca="1">C18*C20</f>
        <v>0</v>
      </c>
      <c r="D22" s="23">
        <f>D18*D20</f>
        <v>799.38711434280083</v>
      </c>
      <c r="E22" s="23">
        <f>E18*E20</f>
        <v>142.75835088719597</v>
      </c>
      <c r="F22" s="23">
        <f>F18*F20</f>
        <v>1000.7306655494574</v>
      </c>
      <c r="G22" s="23"/>
      <c r="H22" s="23"/>
      <c r="I22" s="23"/>
      <c r="J22" s="23">
        <f>J18*J20</f>
        <v>8.9442184506751552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102.19369999999999</v>
      </c>
      <c r="C30" s="39">
        <f>IF(ISERROR(B30*3.6/1000000/'E Balans VL '!Z18*100),0,B30*3.6/1000000/'E Balans VL '!Z18*100)</f>
        <v>1.4303712357324324E-2</v>
      </c>
      <c r="D30" s="237" t="s">
        <v>692</v>
      </c>
    </row>
    <row r="31" spans="1:18">
      <c r="A31" s="6" t="s">
        <v>33</v>
      </c>
      <c r="B31" s="37">
        <f>IF( ISERROR(IND_ander_ele_kWh/1000),0,IND_ander_ele_kWh/1000)</f>
        <v>2206.5039999999999</v>
      </c>
      <c r="C31" s="39">
        <f>IF(ISERROR(B31*3.6/1000000/'E Balans VL '!Z19*100),0,B31*3.6/1000000/'E Balans VL '!Z19*100)</f>
        <v>9.6578322134196273E-2</v>
      </c>
      <c r="D31" s="237" t="s">
        <v>692</v>
      </c>
    </row>
    <row r="32" spans="1:18">
      <c r="A32" s="171" t="s">
        <v>41</v>
      </c>
      <c r="B32" s="37">
        <f>IF( ISERROR(IND_voed_ele_kWh/1000),0,IND_voed_ele_kWh/1000)</f>
        <v>1024.3720000000001</v>
      </c>
      <c r="C32" s="39">
        <f>IF(ISERROR(B32*3.6/1000000/'E Balans VL '!Z20*100),0,B32*3.6/1000000/'E Balans VL '!Z20*100)</f>
        <v>0.25360048948382019</v>
      </c>
      <c r="D32" s="237" t="s">
        <v>692</v>
      </c>
    </row>
    <row r="33" spans="1:5">
      <c r="A33" s="171" t="s">
        <v>40</v>
      </c>
      <c r="B33" s="37">
        <f>IF( ISERROR(IND_textiel_ele_kWh/1000),0,IND_textiel_ele_kWh/1000)</f>
        <v>8.8272890000000004</v>
      </c>
      <c r="C33" s="39">
        <f>IF(ISERROR(B33*3.6/1000000/'E Balans VL '!Z21*100),0,B33*3.6/1000000/'E Balans VL '!Z21*100)</f>
        <v>9.9467997617169431E-4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38.605350000000001</v>
      </c>
      <c r="C35" s="39">
        <f>IF(ISERROR(B35*3.6/1000000/'E Balans VL '!Z22*100),0,B35*3.6/1000000/'E Balans VL '!Z22*100)</f>
        <v>1.0954623316368249E-3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178.67010000000002</v>
      </c>
      <c r="C37" s="39">
        <f>IF(ISERROR(B37*3.6/1000000/'E Balans VL '!Z15*100),0,B37*3.6/1000000/'E Balans VL '!Z15*100)</f>
        <v>1.3248082018844365E-3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1050.5282999999999</v>
      </c>
      <c r="C5" s="17">
        <f>'Eigen informatie GS &amp; warmtenet'!B60</f>
        <v>0</v>
      </c>
      <c r="D5" s="30">
        <f>IF(ISERROR(SUM(LB_lb_gas_kWh,LB_rest_gas_kWh,onbekend_gas_kWh)/1000),0,SUM(LB_lb_gas_kWh,LB_rest_gas_kWh,onbekend_gas_kWh)/1000)*0.902</f>
        <v>14608.572580471091</v>
      </c>
      <c r="E5" s="17">
        <f>B17*'E Balans VL '!I25/3.6*1000000/100</f>
        <v>9.7304331162978421</v>
      </c>
      <c r="F5" s="17">
        <f>B17*('E Balans VL '!L25/3.6*1000000+'E Balans VL '!N25/3.6*1000000)/100</f>
        <v>2665.3904225357774</v>
      </c>
      <c r="G5" s="18"/>
      <c r="H5" s="17"/>
      <c r="I5" s="17"/>
      <c r="J5" s="17">
        <f>('E Balans VL '!D25+'E Balans VL '!E25)/3.6*1000000*landbouw!B17/100</f>
        <v>161.05771232004543</v>
      </c>
      <c r="K5" s="17"/>
      <c r="L5" s="17">
        <f>L6*(-1)</f>
        <v>0</v>
      </c>
      <c r="M5" s="17"/>
      <c r="N5" s="17">
        <f>N6*(-1)</f>
        <v>0</v>
      </c>
      <c r="O5" s="17"/>
      <c r="P5" s="17"/>
      <c r="R5" s="32"/>
    </row>
    <row r="6" spans="1:18">
      <c r="A6" s="16" t="s">
        <v>494</v>
      </c>
      <c r="B6" s="17" t="s">
        <v>211</v>
      </c>
      <c r="C6" s="17">
        <f>'lokale energieproductie'!O91+'lokale energieproductie'!O60</f>
        <v>35.357142857142861</v>
      </c>
      <c r="D6" s="310">
        <f>('lokale energieproductie'!P60+'lokale energieproductie'!P91)*(-1)</f>
        <v>-70.714285714285722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1050.5282999999999</v>
      </c>
      <c r="C8" s="21">
        <f>C5+C6</f>
        <v>35.357142857142861</v>
      </c>
      <c r="D8" s="21">
        <f>MAX((D5+D6),0)</f>
        <v>14537.858294756805</v>
      </c>
      <c r="E8" s="21">
        <f>MAX((E5+E6),0)</f>
        <v>9.7304331162978421</v>
      </c>
      <c r="F8" s="21">
        <f>MAX((F5+F6),0)</f>
        <v>2665.3904225357774</v>
      </c>
      <c r="G8" s="21"/>
      <c r="H8" s="21"/>
      <c r="I8" s="21"/>
      <c r="J8" s="21">
        <f>MAX((J5+J6),0)</f>
        <v>161.05771232004543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0.21455972401376538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225.40106211665011</v>
      </c>
      <c r="C12" s="23">
        <f ca="1">C8*C10</f>
        <v>8.4025210084033635</v>
      </c>
      <c r="D12" s="23">
        <f>D8*D10</f>
        <v>2936.6473755408747</v>
      </c>
      <c r="E12" s="23">
        <f>E8*E10</f>
        <v>2.20880831739961</v>
      </c>
      <c r="F12" s="23">
        <f>F8*F10</f>
        <v>711.65924281705259</v>
      </c>
      <c r="G12" s="23"/>
      <c r="H12" s="23"/>
      <c r="I12" s="23"/>
      <c r="J12" s="23">
        <f>J8*J10</f>
        <v>57.014430161296076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0.14936284920981829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120.62208682664625</v>
      </c>
      <c r="C26" s="247">
        <f>B26*'GWP N2O_CH4'!B5</f>
        <v>2533.0638233595714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83.165152763486319</v>
      </c>
      <c r="C27" s="247">
        <f>B27*'GWP N2O_CH4'!B5</f>
        <v>1746.4682080332127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1.9443490118895812</v>
      </c>
      <c r="C28" s="247">
        <f>B28*'GWP N2O_CH4'!B4</f>
        <v>602.74819368577016</v>
      </c>
      <c r="D28" s="50"/>
    </row>
    <row r="29" spans="1:4">
      <c r="A29" s="41" t="s">
        <v>277</v>
      </c>
      <c r="B29" s="247">
        <f>B34*'ha_N2O bodem landbouw'!B4</f>
        <v>14.47747449177797</v>
      </c>
      <c r="C29" s="247">
        <f>B29*'GWP N2O_CH4'!B4</f>
        <v>4488.0170924511704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3.2470424743443558E-3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4.9289012096549628E-5</v>
      </c>
      <c r="C5" s="464" t="s">
        <v>211</v>
      </c>
      <c r="D5" s="449">
        <f>SUM(D6:D11)</f>
        <v>1.2015235132199195E-4</v>
      </c>
      <c r="E5" s="449">
        <f>SUM(E6:E11)</f>
        <v>8.0322894617174232E-4</v>
      </c>
      <c r="F5" s="462" t="s">
        <v>211</v>
      </c>
      <c r="G5" s="449">
        <f>SUM(G6:G11)</f>
        <v>0.2924152922922173</v>
      </c>
      <c r="H5" s="449">
        <f>SUM(H6:H11)</f>
        <v>4.5972488306116346E-2</v>
      </c>
      <c r="I5" s="464" t="s">
        <v>211</v>
      </c>
      <c r="J5" s="464" t="s">
        <v>211</v>
      </c>
      <c r="K5" s="464" t="s">
        <v>211</v>
      </c>
      <c r="L5" s="464" t="s">
        <v>211</v>
      </c>
      <c r="M5" s="449">
        <f>SUM(M6:M11)</f>
        <v>1.8330082418075634E-2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3.9327909335498385E-5</v>
      </c>
      <c r="C6" s="450"/>
      <c r="D6" s="963">
        <f>vkm_2011_GW_PW*SUMIFS(TableVerdeelsleutelVkm[CNG],TableVerdeelsleutelVkm[Voertuigtype],"Lichte voertuigen")*SUMIFS(TableECFTransport[EnergieConsumptieFactor (PJ per km)],TableECFTransport[Index],CONCATENATE($A6,"_CNG_CNG"))</f>
        <v>9.0969784116464009E-5</v>
      </c>
      <c r="E6" s="963">
        <f>vkm_2011_GW_PW*SUMIFS(TableVerdeelsleutelVkm[LPG],TableVerdeelsleutelVkm[Voertuigtype],"Lichte voertuigen")*SUMIFS(TableECFTransport[EnergieConsumptieFactor (PJ per km)],TableECFTransport[Index],CONCATENATE($A6,"_LPG_LPG"))</f>
        <v>5.9234029905255606E-4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0.12305431483475657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3.4686468358524014E-2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8.185928930268576E-3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8.4680062614620438E-2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2.8959043552625992E-5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4.8992216106332068E-3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3.0156851103408886E-6</v>
      </c>
      <c r="C8" s="450"/>
      <c r="D8" s="452">
        <f>vkm_2011_NGW_PW*SUMIFS(TableVerdeelsleutelVkm[CNG],TableVerdeelsleutelVkm[Voertuigtype],"Lichte voertuigen")*SUMIFS(TableECFTransport[EnergieConsumptieFactor (PJ per km)],TableECFTransport[Index],CONCATENATE($A8,"_CNG_CNG"))</f>
        <v>1.2337818469959846E-5</v>
      </c>
      <c r="E8" s="452">
        <f>vkm_2011_NGW_PW*SUMIFS(TableVerdeelsleutelVkm[LPG],TableVerdeelsleutelVkm[Voertuigtype],"Lichte voertuigen")*SUMIFS(TableECFTransport[EnergieConsumptieFactor (PJ per km)],TableECFTransport[Index],CONCATENATE($A8,"_LPG_LPG"))</f>
        <v>7.4142160648419612E-5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1.4398298678305145E-2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4.5487919398478644E-3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9.7290772712656454E-4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1.1432431195979947E-3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3.6994015622324736E-7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6.6142447303597107E-5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6.9454176507103564E-6</v>
      </c>
      <c r="C10" s="450"/>
      <c r="D10" s="452">
        <f>vkm_2011_SW_PW*SUMIFS(TableVerdeelsleutelVkm[CNG],TableVerdeelsleutelVkm[Voertuigtype],"Lichte voertuigen")*SUMIFS(TableECFTransport[EnergieConsumptieFactor (PJ per km)],TableECFTransport[Index],CONCATENATE($A10,"_CNG_CNG"))</f>
        <v>1.68447487355681E-5</v>
      </c>
      <c r="E10" s="452">
        <f>vkm_2011_SW_PW*SUMIFS(TableVerdeelsleutelVkm[LPG],TableVerdeelsleutelVkm[Voertuigtype],"Lichte voertuigen")*SUMIFS(TableECFTransport[EnergieConsumptieFactor (PJ per km)],TableECFTransport[Index],CONCATENATE($A10,"_LPG_LPG"))</f>
        <v>1.3674648647076659E-4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2.5575519301462412E-2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6.6918430315292404E-3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1.685430184799347E-3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4.3563853743474754E-2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1.6055992506378944E-5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2.520451517944344E-3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13.691392249041563</v>
      </c>
      <c r="C14" s="21"/>
      <c r="D14" s="21">
        <f t="shared" ref="D14:M14" si="0">((D5)*10^9/3600)+D12</f>
        <v>33.375653144997763</v>
      </c>
      <c r="E14" s="21">
        <f t="shared" si="0"/>
        <v>223.11915171437286</v>
      </c>
      <c r="F14" s="21"/>
      <c r="G14" s="21">
        <f t="shared" si="0"/>
        <v>81226.470081171472</v>
      </c>
      <c r="H14" s="21">
        <f t="shared" si="0"/>
        <v>12770.135640587874</v>
      </c>
      <c r="I14" s="21"/>
      <c r="J14" s="21"/>
      <c r="K14" s="21"/>
      <c r="L14" s="21"/>
      <c r="M14" s="21">
        <f t="shared" si="0"/>
        <v>5091.6895605765649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0.21455972401376538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2.9376213423185642</v>
      </c>
      <c r="C18" s="23"/>
      <c r="D18" s="23">
        <f t="shared" ref="D18:M18" si="1">D14*D16</f>
        <v>6.7418819352895483</v>
      </c>
      <c r="E18" s="23">
        <f t="shared" si="1"/>
        <v>50.648047439162639</v>
      </c>
      <c r="F18" s="23"/>
      <c r="G18" s="23">
        <f t="shared" si="1"/>
        <v>21687.467511672785</v>
      </c>
      <c r="H18" s="23">
        <f t="shared" si="1"/>
        <v>3179.7637745063807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4.8426827317272726E-3</v>
      </c>
      <c r="C50" s="321">
        <f t="shared" ref="C50:P50" si="2">SUM(C51:C52)</f>
        <v>0</v>
      </c>
      <c r="D50" s="321">
        <f t="shared" si="2"/>
        <v>0</v>
      </c>
      <c r="E50" s="321">
        <f t="shared" si="2"/>
        <v>0</v>
      </c>
      <c r="F50" s="321">
        <f t="shared" si="2"/>
        <v>0</v>
      </c>
      <c r="G50" s="321">
        <f t="shared" si="2"/>
        <v>4.4449710616435321E-3</v>
      </c>
      <c r="H50" s="321">
        <f t="shared" si="2"/>
        <v>0</v>
      </c>
      <c r="I50" s="321">
        <f t="shared" si="2"/>
        <v>0</v>
      </c>
      <c r="J50" s="321">
        <f t="shared" si="2"/>
        <v>0</v>
      </c>
      <c r="K50" s="321">
        <f t="shared" si="2"/>
        <v>0</v>
      </c>
      <c r="L50" s="321">
        <f t="shared" si="2"/>
        <v>0</v>
      </c>
      <c r="M50" s="321">
        <f t="shared" si="2"/>
        <v>2.5348374185490936E-4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4.4449710616435321E-3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2.5348374185490936E-4</v>
      </c>
      <c r="N51" s="323"/>
      <c r="O51" s="323"/>
      <c r="P51" s="326"/>
    </row>
    <row r="52" spans="1:18">
      <c r="A52" s="4" t="s">
        <v>330</v>
      </c>
      <c r="B52" s="964">
        <f>vkm_2011_tram*SUMIFS(TableECFTransport[EnergieConsumptieFactor (PJ per km)],TableECFTransport[Index],"Tram_gemiddeld_Electric_Electric")</f>
        <v>4.8426827317272726E-3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1345.18964770202</v>
      </c>
      <c r="C54" s="21">
        <f t="shared" ref="C54:P54" si="3">(C50)*10^9/3600</f>
        <v>0</v>
      </c>
      <c r="D54" s="21">
        <f t="shared" si="3"/>
        <v>0</v>
      </c>
      <c r="E54" s="21">
        <f t="shared" si="3"/>
        <v>0</v>
      </c>
      <c r="F54" s="21">
        <f t="shared" si="3"/>
        <v>0</v>
      </c>
      <c r="G54" s="21">
        <f t="shared" si="3"/>
        <v>1234.71418378987</v>
      </c>
      <c r="H54" s="21">
        <f t="shared" si="3"/>
        <v>0</v>
      </c>
      <c r="I54" s="21">
        <f t="shared" si="3"/>
        <v>0</v>
      </c>
      <c r="J54" s="21">
        <f t="shared" si="3"/>
        <v>0</v>
      </c>
      <c r="K54" s="21">
        <f t="shared" si="3"/>
        <v>0</v>
      </c>
      <c r="L54" s="21">
        <f t="shared" si="3"/>
        <v>0</v>
      </c>
      <c r="M54" s="21">
        <f t="shared" si="3"/>
        <v>70.412150515252605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0.21455972401376538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288.62351955711972</v>
      </c>
      <c r="C58" s="23">
        <f t="shared" ref="C58:P58" ca="1" si="4">C54*C56</f>
        <v>0</v>
      </c>
      <c r="D58" s="23">
        <f t="shared" si="4"/>
        <v>0</v>
      </c>
      <c r="E58" s="23">
        <f t="shared" si="4"/>
        <v>0</v>
      </c>
      <c r="F58" s="23">
        <f t="shared" si="4"/>
        <v>0</v>
      </c>
      <c r="G58" s="23">
        <f t="shared" si="4"/>
        <v>329.66868707189531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3312.3938619901674</v>
      </c>
      <c r="C6" s="1216"/>
      <c r="D6" s="1201"/>
      <c r="E6" s="1201"/>
      <c r="F6" s="1219"/>
      <c r="G6" s="1222"/>
      <c r="H6" s="1213"/>
      <c r="I6" s="1201"/>
      <c r="J6" s="1201"/>
      <c r="K6" s="1201"/>
      <c r="L6" s="1205"/>
      <c r="M6" s="576"/>
      <c r="N6" s="1179"/>
      <c r="O6" s="1180"/>
      <c r="Q6" s="574"/>
      <c r="R6" s="1167"/>
      <c r="S6" s="1167"/>
    </row>
    <row r="7" spans="1:19" s="564" customFormat="1">
      <c r="A7" s="577" t="s">
        <v>252</v>
      </c>
      <c r="B7" s="578">
        <f>N57</f>
        <v>24.75</v>
      </c>
      <c r="C7" s="579">
        <f>B100</f>
        <v>29.117647058823533</v>
      </c>
      <c r="D7" s="580"/>
      <c r="E7" s="580">
        <f>E100</f>
        <v>0</v>
      </c>
      <c r="F7" s="581"/>
      <c r="G7" s="582"/>
      <c r="H7" s="580">
        <f>I100</f>
        <v>0</v>
      </c>
      <c r="I7" s="580">
        <f>G100+F100</f>
        <v>0</v>
      </c>
      <c r="J7" s="580">
        <f>H100+D100+C100</f>
        <v>0</v>
      </c>
      <c r="K7" s="580"/>
      <c r="L7" s="583"/>
      <c r="M7" s="584">
        <f>C7*$C$11+D7*$D$11+E7*$E$11+F7*$F$11+G7*$G$11+H7*$H$11+I7*$I$11+J7*$J$11</f>
        <v>5.8817647058823539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3337.1438619901674</v>
      </c>
      <c r="C9" s="595">
        <f t="shared" ref="C9:L9" si="0">SUM(C7:C8)</f>
        <v>29.117647058823533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5.8817647058823539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35.357142857142861</v>
      </c>
      <c r="C16" s="611">
        <f>B101</f>
        <v>41.596638655462193</v>
      </c>
      <c r="D16" s="612"/>
      <c r="E16" s="612">
        <f>E101</f>
        <v>0</v>
      </c>
      <c r="F16" s="613"/>
      <c r="G16" s="614"/>
      <c r="H16" s="611">
        <f>I101</f>
        <v>0</v>
      </c>
      <c r="I16" s="612">
        <f>G101+F101</f>
        <v>0</v>
      </c>
      <c r="J16" s="612">
        <f>H101+D101+C101</f>
        <v>0</v>
      </c>
      <c r="K16" s="612"/>
      <c r="L16" s="615"/>
      <c r="M16" s="616">
        <f>C16*$C$21+E16*$E$21+H16*$H$21+I16*$I$21+J16*$J$21+D16*$D$21+F16*$F$21+G16*$G$21+K16*$K$21+L16*$L$21</f>
        <v>8.4025210084033635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35.357142857142861</v>
      </c>
      <c r="C19" s="594">
        <f>SUM(C16:C18)</f>
        <v>41.596638655462193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8.4025210084033635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38014</v>
      </c>
      <c r="C27" s="852">
        <v>8670</v>
      </c>
      <c r="D27" s="673" t="s">
        <v>834</v>
      </c>
      <c r="E27" s="672" t="s">
        <v>835</v>
      </c>
      <c r="F27" s="672" t="s">
        <v>836</v>
      </c>
      <c r="G27" s="672" t="s">
        <v>837</v>
      </c>
      <c r="H27" s="672" t="s">
        <v>838</v>
      </c>
      <c r="I27" s="672" t="s">
        <v>835</v>
      </c>
      <c r="J27" s="851">
        <v>41074</v>
      </c>
      <c r="K27" s="851">
        <v>41183</v>
      </c>
      <c r="L27" s="672" t="s">
        <v>839</v>
      </c>
      <c r="M27" s="672">
        <v>5.5</v>
      </c>
      <c r="N27" s="672">
        <v>24.75</v>
      </c>
      <c r="O27" s="672">
        <v>35.357142857142861</v>
      </c>
      <c r="P27" s="672">
        <v>70.714285714285722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24.75</v>
      </c>
      <c r="O57" s="630">
        <f t="shared" ref="O57:W57" si="2">SUM(O27:O56)</f>
        <v>35.357142857142861</v>
      </c>
      <c r="P57" s="630">
        <f t="shared" si="2"/>
        <v>70.714285714285722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5.5</v>
      </c>
      <c r="N60" s="635">
        <f t="shared" ref="N60:W60" si="4">SUMIF($Z$27:$Z$56,"landbouw",N27:N56)</f>
        <v>24.75</v>
      </c>
      <c r="O60" s="635">
        <f t="shared" si="4"/>
        <v>35.357142857142861</v>
      </c>
      <c r="P60" s="635">
        <f t="shared" si="4"/>
        <v>70.714285714285722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29.117647058823533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41.596638655462193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51324.111300000004</v>
      </c>
      <c r="D10" s="719">
        <f ca="1">tertiair!C16</f>
        <v>0</v>
      </c>
      <c r="E10" s="719">
        <f ca="1">tertiair!D16</f>
        <v>59018.486597936622</v>
      </c>
      <c r="F10" s="719">
        <f>tertiair!E16</f>
        <v>765.92668092990982</v>
      </c>
      <c r="G10" s="719">
        <f ca="1">tertiair!F16</f>
        <v>7917.0473939863123</v>
      </c>
      <c r="H10" s="719">
        <f>tertiair!G16</f>
        <v>0</v>
      </c>
      <c r="I10" s="719">
        <f>tertiair!H16</f>
        <v>0</v>
      </c>
      <c r="J10" s="719">
        <f>tertiair!I16</f>
        <v>0</v>
      </c>
      <c r="K10" s="719">
        <f>tertiair!J16</f>
        <v>0</v>
      </c>
      <c r="L10" s="719">
        <f>tertiair!K16</f>
        <v>0</v>
      </c>
      <c r="M10" s="719">
        <f ca="1">tertiair!L16</f>
        <v>0</v>
      </c>
      <c r="N10" s="719">
        <f>tertiair!M16</f>
        <v>0</v>
      </c>
      <c r="O10" s="719">
        <f ca="1">tertiair!N16</f>
        <v>5276.8037054218566</v>
      </c>
      <c r="P10" s="719">
        <f>tertiair!O16</f>
        <v>6.2533333333333339</v>
      </c>
      <c r="Q10" s="720">
        <f>tertiair!P16</f>
        <v>38.133333333333333</v>
      </c>
      <c r="R10" s="722">
        <f ca="1">SUM(C10:Q10)</f>
        <v>124346.76234494137</v>
      </c>
      <c r="S10" s="67"/>
    </row>
    <row r="11" spans="1:19" s="475" customFormat="1">
      <c r="A11" s="871" t="s">
        <v>225</v>
      </c>
      <c r="B11" s="876"/>
      <c r="C11" s="719">
        <f>huishoudens!B8</f>
        <v>56309.120004482007</v>
      </c>
      <c r="D11" s="719">
        <f>huishoudens!C8</f>
        <v>0</v>
      </c>
      <c r="E11" s="719">
        <f>huishoudens!D8</f>
        <v>111545.37386428982</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337.68</v>
      </c>
      <c r="Q11" s="720">
        <f>huishoudens!P8</f>
        <v>724.5333333333333</v>
      </c>
      <c r="R11" s="722">
        <f>SUM(C11:Q11)</f>
        <v>168916.70720210514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3559.1724389999995</v>
      </c>
      <c r="D13" s="719">
        <f>industrie!C18</f>
        <v>0</v>
      </c>
      <c r="E13" s="719">
        <f>industrie!D18</f>
        <v>3957.3619521920832</v>
      </c>
      <c r="F13" s="719">
        <f>industrie!E18</f>
        <v>628.89141359998223</v>
      </c>
      <c r="G13" s="719">
        <f>industrie!F18</f>
        <v>3748.0549271515256</v>
      </c>
      <c r="H13" s="719">
        <f>industrie!G18</f>
        <v>0</v>
      </c>
      <c r="I13" s="719">
        <f>industrie!H18</f>
        <v>0</v>
      </c>
      <c r="J13" s="719">
        <f>industrie!I18</f>
        <v>0</v>
      </c>
      <c r="K13" s="719">
        <f>industrie!J18</f>
        <v>25.266153815466541</v>
      </c>
      <c r="L13" s="719">
        <f>industrie!K18</f>
        <v>0</v>
      </c>
      <c r="M13" s="719">
        <f>industrie!L18</f>
        <v>0</v>
      </c>
      <c r="N13" s="719">
        <f>industrie!M18</f>
        <v>0</v>
      </c>
      <c r="O13" s="719">
        <f>industrie!N18</f>
        <v>1306.786444224532</v>
      </c>
      <c r="P13" s="719">
        <f>industrie!O18</f>
        <v>0</v>
      </c>
      <c r="Q13" s="720">
        <f>industrie!P18</f>
        <v>0</v>
      </c>
      <c r="R13" s="722">
        <f>SUM(C13:Q13)</f>
        <v>13225.533329983587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111192.40374348201</v>
      </c>
      <c r="D15" s="724">
        <f t="shared" ref="D15:Q15" ca="1" si="0">SUM(D9:D14)</f>
        <v>0</v>
      </c>
      <c r="E15" s="724">
        <f t="shared" ca="1" si="0"/>
        <v>174521.22241441853</v>
      </c>
      <c r="F15" s="724">
        <f t="shared" si="0"/>
        <v>1394.8180945298921</v>
      </c>
      <c r="G15" s="724">
        <f t="shared" ca="1" si="0"/>
        <v>11665.102321137838</v>
      </c>
      <c r="H15" s="724">
        <f t="shared" si="0"/>
        <v>0</v>
      </c>
      <c r="I15" s="724">
        <f t="shared" si="0"/>
        <v>0</v>
      </c>
      <c r="J15" s="724">
        <f t="shared" si="0"/>
        <v>0</v>
      </c>
      <c r="K15" s="724">
        <f t="shared" si="0"/>
        <v>25.266153815466541</v>
      </c>
      <c r="L15" s="724">
        <f t="shared" si="0"/>
        <v>0</v>
      </c>
      <c r="M15" s="724">
        <f t="shared" ca="1" si="0"/>
        <v>0</v>
      </c>
      <c r="N15" s="724">
        <f t="shared" si="0"/>
        <v>0</v>
      </c>
      <c r="O15" s="724">
        <f t="shared" ca="1" si="0"/>
        <v>6583.5901496463885</v>
      </c>
      <c r="P15" s="724">
        <f t="shared" si="0"/>
        <v>343.93333333333334</v>
      </c>
      <c r="Q15" s="725">
        <f t="shared" si="0"/>
        <v>762.66666666666663</v>
      </c>
      <c r="R15" s="726">
        <f ca="1">SUM(R9:R14)</f>
        <v>306489.00287703011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1345.18964770202</v>
      </c>
      <c r="D18" s="719">
        <f>transport!C54</f>
        <v>0</v>
      </c>
      <c r="E18" s="719">
        <f>transport!D54</f>
        <v>0</v>
      </c>
      <c r="F18" s="719">
        <f>transport!E54</f>
        <v>0</v>
      </c>
      <c r="G18" s="719">
        <f>transport!F54</f>
        <v>0</v>
      </c>
      <c r="H18" s="719">
        <f>transport!G54</f>
        <v>1234.71418378987</v>
      </c>
      <c r="I18" s="719">
        <f>transport!H54</f>
        <v>0</v>
      </c>
      <c r="J18" s="719">
        <f>transport!I54</f>
        <v>0</v>
      </c>
      <c r="K18" s="719">
        <f>transport!J54</f>
        <v>0</v>
      </c>
      <c r="L18" s="719">
        <f>transport!K54</f>
        <v>0</v>
      </c>
      <c r="M18" s="719">
        <f>transport!L54</f>
        <v>0</v>
      </c>
      <c r="N18" s="719">
        <f>transport!M54</f>
        <v>70.412150515252605</v>
      </c>
      <c r="O18" s="719">
        <f>transport!N54</f>
        <v>0</v>
      </c>
      <c r="P18" s="719">
        <f>transport!O54</f>
        <v>0</v>
      </c>
      <c r="Q18" s="720">
        <f>transport!P54</f>
        <v>0</v>
      </c>
      <c r="R18" s="722">
        <f>SUM(C18:Q18)</f>
        <v>2650.3159820071423</v>
      </c>
      <c r="S18" s="67"/>
    </row>
    <row r="19" spans="1:19" s="475" customFormat="1" ht="15" thickBot="1">
      <c r="A19" s="871" t="s">
        <v>307</v>
      </c>
      <c r="B19" s="876"/>
      <c r="C19" s="728">
        <f>transport!B14</f>
        <v>13.691392249041563</v>
      </c>
      <c r="D19" s="728">
        <f>transport!C14</f>
        <v>0</v>
      </c>
      <c r="E19" s="728">
        <f>transport!D14</f>
        <v>33.375653144997763</v>
      </c>
      <c r="F19" s="728">
        <f>transport!E14</f>
        <v>223.11915171437286</v>
      </c>
      <c r="G19" s="728">
        <f>transport!F14</f>
        <v>0</v>
      </c>
      <c r="H19" s="728">
        <f>transport!G14</f>
        <v>81226.470081171472</v>
      </c>
      <c r="I19" s="728">
        <f>transport!H14</f>
        <v>12770.135640587874</v>
      </c>
      <c r="J19" s="728">
        <f>transport!I14</f>
        <v>0</v>
      </c>
      <c r="K19" s="728">
        <f>transport!J14</f>
        <v>0</v>
      </c>
      <c r="L19" s="728">
        <f>transport!K14</f>
        <v>0</v>
      </c>
      <c r="M19" s="728">
        <f>transport!L14</f>
        <v>0</v>
      </c>
      <c r="N19" s="728">
        <f>transport!M14</f>
        <v>5091.6895605765649</v>
      </c>
      <c r="O19" s="728">
        <f>transport!N14</f>
        <v>0</v>
      </c>
      <c r="P19" s="728">
        <f>transport!O14</f>
        <v>0</v>
      </c>
      <c r="Q19" s="729">
        <f>transport!P14</f>
        <v>0</v>
      </c>
      <c r="R19" s="730">
        <f>SUM(C19:Q19)</f>
        <v>99358.481479444323</v>
      </c>
      <c r="S19" s="67"/>
    </row>
    <row r="20" spans="1:19" s="475" customFormat="1" ht="15.75" thickBot="1">
      <c r="A20" s="731" t="s">
        <v>230</v>
      </c>
      <c r="B20" s="879"/>
      <c r="C20" s="874">
        <f>SUM(C17:C19)</f>
        <v>1358.8810399510617</v>
      </c>
      <c r="D20" s="732">
        <f t="shared" ref="D20:R20" si="1">SUM(D17:D19)</f>
        <v>0</v>
      </c>
      <c r="E20" s="732">
        <f t="shared" si="1"/>
        <v>33.375653144997763</v>
      </c>
      <c r="F20" s="732">
        <f t="shared" si="1"/>
        <v>223.11915171437286</v>
      </c>
      <c r="G20" s="732">
        <f t="shared" si="1"/>
        <v>0</v>
      </c>
      <c r="H20" s="732">
        <f t="shared" si="1"/>
        <v>82461.184264961339</v>
      </c>
      <c r="I20" s="732">
        <f t="shared" si="1"/>
        <v>12770.135640587874</v>
      </c>
      <c r="J20" s="732">
        <f t="shared" si="1"/>
        <v>0</v>
      </c>
      <c r="K20" s="732">
        <f t="shared" si="1"/>
        <v>0</v>
      </c>
      <c r="L20" s="732">
        <f t="shared" si="1"/>
        <v>0</v>
      </c>
      <c r="M20" s="732">
        <f t="shared" si="1"/>
        <v>0</v>
      </c>
      <c r="N20" s="732">
        <f t="shared" si="1"/>
        <v>5162.1017110918174</v>
      </c>
      <c r="O20" s="732">
        <f t="shared" si="1"/>
        <v>0</v>
      </c>
      <c r="P20" s="732">
        <f t="shared" si="1"/>
        <v>0</v>
      </c>
      <c r="Q20" s="733">
        <f t="shared" si="1"/>
        <v>0</v>
      </c>
      <c r="R20" s="734">
        <f t="shared" si="1"/>
        <v>102008.79746145147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1050.5282999999999</v>
      </c>
      <c r="D22" s="728">
        <f>+landbouw!C8</f>
        <v>35.357142857142861</v>
      </c>
      <c r="E22" s="728">
        <f>+landbouw!D8</f>
        <v>14537.858294756805</v>
      </c>
      <c r="F22" s="728">
        <f>+landbouw!E8</f>
        <v>9.7304331162978421</v>
      </c>
      <c r="G22" s="728">
        <f>+landbouw!F8</f>
        <v>2665.3904225357774</v>
      </c>
      <c r="H22" s="728">
        <f>+landbouw!G8</f>
        <v>0</v>
      </c>
      <c r="I22" s="728">
        <f>+landbouw!H8</f>
        <v>0</v>
      </c>
      <c r="J22" s="728">
        <f>+landbouw!I8</f>
        <v>0</v>
      </c>
      <c r="K22" s="728">
        <f>+landbouw!J8</f>
        <v>161.05771232004543</v>
      </c>
      <c r="L22" s="728">
        <f>+landbouw!K8</f>
        <v>0</v>
      </c>
      <c r="M22" s="728">
        <f>+landbouw!L8</f>
        <v>0</v>
      </c>
      <c r="N22" s="728">
        <f>+landbouw!M8</f>
        <v>0</v>
      </c>
      <c r="O22" s="728">
        <f>+landbouw!N8</f>
        <v>0</v>
      </c>
      <c r="P22" s="728">
        <f>+landbouw!O8</f>
        <v>0</v>
      </c>
      <c r="Q22" s="729">
        <f>+landbouw!P8</f>
        <v>0</v>
      </c>
      <c r="R22" s="730">
        <f>SUM(C22:Q22)</f>
        <v>18459.922305586068</v>
      </c>
      <c r="S22" s="67"/>
    </row>
    <row r="23" spans="1:19" s="475" customFormat="1" ht="17.25" thickTop="1" thickBot="1">
      <c r="A23" s="735" t="s">
        <v>116</v>
      </c>
      <c r="B23" s="865"/>
      <c r="C23" s="736">
        <f ca="1">C20+C15+C22</f>
        <v>113601.81308343307</v>
      </c>
      <c r="D23" s="736">
        <f t="shared" ref="D23:Q23" ca="1" si="2">D20+D15+D22</f>
        <v>35.357142857142861</v>
      </c>
      <c r="E23" s="736">
        <f t="shared" ca="1" si="2"/>
        <v>189092.45636232031</v>
      </c>
      <c r="F23" s="736">
        <f t="shared" si="2"/>
        <v>1627.6676793605629</v>
      </c>
      <c r="G23" s="736">
        <f t="shared" ca="1" si="2"/>
        <v>14330.492743673614</v>
      </c>
      <c r="H23" s="736">
        <f t="shared" si="2"/>
        <v>82461.184264961339</v>
      </c>
      <c r="I23" s="736">
        <f t="shared" si="2"/>
        <v>12770.135640587874</v>
      </c>
      <c r="J23" s="736">
        <f t="shared" si="2"/>
        <v>0</v>
      </c>
      <c r="K23" s="736">
        <f t="shared" si="2"/>
        <v>186.32386613551196</v>
      </c>
      <c r="L23" s="736">
        <f t="shared" si="2"/>
        <v>0</v>
      </c>
      <c r="M23" s="736">
        <f t="shared" ca="1" si="2"/>
        <v>0</v>
      </c>
      <c r="N23" s="736">
        <f t="shared" si="2"/>
        <v>5162.1017110918174</v>
      </c>
      <c r="O23" s="736">
        <f t="shared" ca="1" si="2"/>
        <v>6583.5901496463885</v>
      </c>
      <c r="P23" s="736">
        <f t="shared" si="2"/>
        <v>343.93333333333334</v>
      </c>
      <c r="Q23" s="737">
        <f t="shared" si="2"/>
        <v>762.66666666666663</v>
      </c>
      <c r="R23" s="738">
        <f ca="1">R20+R15+R22</f>
        <v>426957.7226440676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11012.087155779776</v>
      </c>
      <c r="D36" s="719">
        <f ca="1">tertiair!C20</f>
        <v>0</v>
      </c>
      <c r="E36" s="719">
        <f ca="1">tertiair!D20</f>
        <v>11921.734292783198</v>
      </c>
      <c r="F36" s="719">
        <f>tertiair!E20</f>
        <v>173.86535657108954</v>
      </c>
      <c r="G36" s="719">
        <f ca="1">tertiair!F20</f>
        <v>2113.8516541943454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25221.538459328407</v>
      </c>
    </row>
    <row r="37" spans="1:18">
      <c r="A37" s="886" t="s">
        <v>225</v>
      </c>
      <c r="B37" s="893"/>
      <c r="C37" s="719">
        <f ca="1">huishoudens!B12</f>
        <v>12081.669247619655</v>
      </c>
      <c r="D37" s="719">
        <f ca="1">huishoudens!C12</f>
        <v>0</v>
      </c>
      <c r="E37" s="719">
        <f>huishoudens!D12</f>
        <v>22532.165520586546</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34613.834768206201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763.65505622924013</v>
      </c>
      <c r="D39" s="719">
        <f ca="1">industrie!C22</f>
        <v>0</v>
      </c>
      <c r="E39" s="719">
        <f>industrie!D22</f>
        <v>799.38711434280083</v>
      </c>
      <c r="F39" s="719">
        <f>industrie!E22</f>
        <v>142.75835088719597</v>
      </c>
      <c r="G39" s="719">
        <f>industrie!F22</f>
        <v>1000.7306655494574</v>
      </c>
      <c r="H39" s="719">
        <f>industrie!G22</f>
        <v>0</v>
      </c>
      <c r="I39" s="719">
        <f>industrie!H22</f>
        <v>0</v>
      </c>
      <c r="J39" s="719">
        <f>industrie!I22</f>
        <v>0</v>
      </c>
      <c r="K39" s="719">
        <f>industrie!J22</f>
        <v>8.9442184506751552</v>
      </c>
      <c r="L39" s="719">
        <f>industrie!K22</f>
        <v>0</v>
      </c>
      <c r="M39" s="719">
        <f>industrie!L22</f>
        <v>0</v>
      </c>
      <c r="N39" s="719">
        <f>industrie!M22</f>
        <v>0</v>
      </c>
      <c r="O39" s="719">
        <f>industrie!N22</f>
        <v>0</v>
      </c>
      <c r="P39" s="719">
        <f>industrie!O22</f>
        <v>0</v>
      </c>
      <c r="Q39" s="829">
        <f>industrie!P22</f>
        <v>0</v>
      </c>
      <c r="R39" s="919">
        <f ca="1">SUM(C39:Q39)</f>
        <v>2715.4754054593695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23857.411459628671</v>
      </c>
      <c r="D41" s="764">
        <f t="shared" ref="D41:R41" ca="1" si="4">SUM(D35:D40)</f>
        <v>0</v>
      </c>
      <c r="E41" s="764">
        <f t="shared" ca="1" si="4"/>
        <v>35253.28692771255</v>
      </c>
      <c r="F41" s="764">
        <f t="shared" si="4"/>
        <v>316.62370745828548</v>
      </c>
      <c r="G41" s="764">
        <f t="shared" ca="1" si="4"/>
        <v>3114.5823197438031</v>
      </c>
      <c r="H41" s="764">
        <f t="shared" si="4"/>
        <v>0</v>
      </c>
      <c r="I41" s="764">
        <f t="shared" si="4"/>
        <v>0</v>
      </c>
      <c r="J41" s="764">
        <f t="shared" si="4"/>
        <v>0</v>
      </c>
      <c r="K41" s="764">
        <f t="shared" si="4"/>
        <v>8.9442184506751552</v>
      </c>
      <c r="L41" s="764">
        <f t="shared" si="4"/>
        <v>0</v>
      </c>
      <c r="M41" s="764">
        <f t="shared" ca="1" si="4"/>
        <v>0</v>
      </c>
      <c r="N41" s="764">
        <f t="shared" si="4"/>
        <v>0</v>
      </c>
      <c r="O41" s="764">
        <f t="shared" ca="1" si="4"/>
        <v>0</v>
      </c>
      <c r="P41" s="764">
        <f t="shared" si="4"/>
        <v>0</v>
      </c>
      <c r="Q41" s="765">
        <f t="shared" si="4"/>
        <v>0</v>
      </c>
      <c r="R41" s="766">
        <f t="shared" ca="1" si="4"/>
        <v>62550.848632993984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288.62351955711972</v>
      </c>
      <c r="D44" s="719">
        <f ca="1">transport!C58</f>
        <v>0</v>
      </c>
      <c r="E44" s="719">
        <f>transport!D58</f>
        <v>0</v>
      </c>
      <c r="F44" s="719">
        <f>transport!E58</f>
        <v>0</v>
      </c>
      <c r="G44" s="719">
        <f>transport!F58</f>
        <v>0</v>
      </c>
      <c r="H44" s="719">
        <f>transport!G58</f>
        <v>329.66868707189531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618.29220662901503</v>
      </c>
    </row>
    <row r="45" spans="1:18" ht="15" thickBot="1">
      <c r="A45" s="889" t="s">
        <v>307</v>
      </c>
      <c r="B45" s="899"/>
      <c r="C45" s="728">
        <f ca="1">transport!B18</f>
        <v>2.9376213423185642</v>
      </c>
      <c r="D45" s="728">
        <f>transport!C18</f>
        <v>0</v>
      </c>
      <c r="E45" s="728">
        <f>transport!D18</f>
        <v>6.7418819352895483</v>
      </c>
      <c r="F45" s="728">
        <f>transport!E18</f>
        <v>50.648047439162639</v>
      </c>
      <c r="G45" s="728">
        <f>transport!F18</f>
        <v>0</v>
      </c>
      <c r="H45" s="728">
        <f>transport!G18</f>
        <v>21687.467511672785</v>
      </c>
      <c r="I45" s="728">
        <f>transport!H18</f>
        <v>3179.7637745063807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24927.558836895936</v>
      </c>
    </row>
    <row r="46" spans="1:18" ht="15.75" thickBot="1">
      <c r="A46" s="887" t="s">
        <v>230</v>
      </c>
      <c r="B46" s="900"/>
      <c r="C46" s="764">
        <f t="shared" ref="C46:R46" ca="1" si="5">SUM(C43:C45)</f>
        <v>291.56114089943827</v>
      </c>
      <c r="D46" s="764">
        <f t="shared" ca="1" si="5"/>
        <v>0</v>
      </c>
      <c r="E46" s="764">
        <f t="shared" si="5"/>
        <v>6.7418819352895483</v>
      </c>
      <c r="F46" s="764">
        <f t="shared" si="5"/>
        <v>50.648047439162639</v>
      </c>
      <c r="G46" s="764">
        <f t="shared" si="5"/>
        <v>0</v>
      </c>
      <c r="H46" s="764">
        <f t="shared" si="5"/>
        <v>22017.13619874468</v>
      </c>
      <c r="I46" s="764">
        <f t="shared" si="5"/>
        <v>3179.7637745063807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25545.851043524952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225.40106211665011</v>
      </c>
      <c r="D48" s="719">
        <f ca="1">+landbouw!C12</f>
        <v>8.4025210084033635</v>
      </c>
      <c r="E48" s="719">
        <f>+landbouw!D12</f>
        <v>2936.6473755408747</v>
      </c>
      <c r="F48" s="719">
        <f>+landbouw!E12</f>
        <v>2.20880831739961</v>
      </c>
      <c r="G48" s="719">
        <f>+landbouw!F12</f>
        <v>711.65924281705259</v>
      </c>
      <c r="H48" s="719">
        <f>+landbouw!G12</f>
        <v>0</v>
      </c>
      <c r="I48" s="719">
        <f>+landbouw!H12</f>
        <v>0</v>
      </c>
      <c r="J48" s="719">
        <f>+landbouw!I12</f>
        <v>0</v>
      </c>
      <c r="K48" s="719">
        <f>+landbouw!J12</f>
        <v>57.014430161296076</v>
      </c>
      <c r="L48" s="719">
        <f>+landbouw!K12</f>
        <v>0</v>
      </c>
      <c r="M48" s="719">
        <f>+landbouw!L12</f>
        <v>0</v>
      </c>
      <c r="N48" s="719">
        <f>+landbouw!M12</f>
        <v>0</v>
      </c>
      <c r="O48" s="719">
        <f>+landbouw!N12</f>
        <v>0</v>
      </c>
      <c r="P48" s="719">
        <f>+landbouw!O12</f>
        <v>0</v>
      </c>
      <c r="Q48" s="720">
        <f>+landbouw!P12</f>
        <v>0</v>
      </c>
      <c r="R48" s="762">
        <f ca="1">SUM(C48:Q48)</f>
        <v>3941.333439961676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24374.373662644757</v>
      </c>
      <c r="D53" s="774">
        <f t="shared" ref="D53:Q53" ca="1" si="6">D41+D46+D48</f>
        <v>8.4025210084033635</v>
      </c>
      <c r="E53" s="774">
        <f t="shared" ca="1" si="6"/>
        <v>38196.676185188713</v>
      </c>
      <c r="F53" s="774">
        <f t="shared" si="6"/>
        <v>369.48056321484768</v>
      </c>
      <c r="G53" s="774">
        <f t="shared" ca="1" si="6"/>
        <v>3826.2415625608555</v>
      </c>
      <c r="H53" s="774">
        <f t="shared" si="6"/>
        <v>22017.13619874468</v>
      </c>
      <c r="I53" s="774">
        <f t="shared" si="6"/>
        <v>3179.7637745063807</v>
      </c>
      <c r="J53" s="774">
        <f t="shared" si="6"/>
        <v>0</v>
      </c>
      <c r="K53" s="774">
        <f t="shared" si="6"/>
        <v>65.958648611971228</v>
      </c>
      <c r="L53" s="774">
        <f t="shared" si="6"/>
        <v>0</v>
      </c>
      <c r="M53" s="774">
        <f t="shared" ca="1" si="6"/>
        <v>0</v>
      </c>
      <c r="N53" s="774">
        <f t="shared" si="6"/>
        <v>0</v>
      </c>
      <c r="O53" s="774">
        <f t="shared" ca="1" si="6"/>
        <v>0</v>
      </c>
      <c r="P53" s="774">
        <f>P41+P46+P48</f>
        <v>0</v>
      </c>
      <c r="Q53" s="775">
        <f t="shared" si="6"/>
        <v>0</v>
      </c>
      <c r="R53" s="776">
        <f ca="1">R41+R46+R48</f>
        <v>92038.033116480612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0.21455972401376536</v>
      </c>
      <c r="D55" s="837">
        <f t="shared" ca="1" si="7"/>
        <v>0.23764705882352943</v>
      </c>
      <c r="E55" s="837">
        <f t="shared" ca="1" si="7"/>
        <v>0.20200000000000004</v>
      </c>
      <c r="F55" s="837">
        <f t="shared" si="7"/>
        <v>0.22699999999999992</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3312.3938619901674</v>
      </c>
      <c r="C66" s="796">
        <f>'lokale energieproductie'!B6</f>
        <v>3312.3938619901674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24.75</v>
      </c>
      <c r="C67" s="795">
        <f>B67*IFERROR(SUM(J67:L67)/SUM(D67:M67),0)</f>
        <v>0</v>
      </c>
      <c r="D67" s="827">
        <f>'lokale energieproductie'!C7</f>
        <v>29.117647058823533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5.8817647058823539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3337.1438619901674</v>
      </c>
      <c r="C69" s="804">
        <f>SUM(C64:C68)</f>
        <v>3312.3938619901674</v>
      </c>
      <c r="D69" s="805">
        <f t="shared" ref="D69:M69" si="8">SUM(D67:D68)</f>
        <v>29.117647058823533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5.8817647058823539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35.357142857142861</v>
      </c>
      <c r="C78" s="818">
        <f>B78*IFERROR(SUM(I78:L78)/SUM(D78:M78),0)</f>
        <v>0</v>
      </c>
      <c r="D78" s="833">
        <f>'lokale energieproductie'!C16</f>
        <v>41.596638655462193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8.4025210084033635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35.357142857142861</v>
      </c>
      <c r="C81" s="804">
        <f>SUM(C78:C80)</f>
        <v>0</v>
      </c>
      <c r="D81" s="804">
        <f t="shared" ref="D81:P81" si="9">SUM(D78:D80)</f>
        <v>41.596638655462193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8.4025210084033635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56309.120004482007</v>
      </c>
      <c r="C4" s="479">
        <f>huishoudens!C8</f>
        <v>0</v>
      </c>
      <c r="D4" s="479">
        <f>huishoudens!D8</f>
        <v>111545.37386428982</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337.68</v>
      </c>
      <c r="P4" s="480">
        <f>huishoudens!P8</f>
        <v>724.5333333333333</v>
      </c>
      <c r="Q4" s="481">
        <f>SUM(B4:P4)</f>
        <v>168916.70720210514</v>
      </c>
    </row>
    <row r="5" spans="1:17">
      <c r="A5" s="478" t="s">
        <v>156</v>
      </c>
      <c r="B5" s="479">
        <f ca="1">tertiair!B16</f>
        <v>48301.353300000002</v>
      </c>
      <c r="C5" s="479">
        <f ca="1">tertiair!C16</f>
        <v>0</v>
      </c>
      <c r="D5" s="479">
        <f ca="1">tertiair!D16</f>
        <v>59018.486597936622</v>
      </c>
      <c r="E5" s="479">
        <f>tertiair!E16</f>
        <v>765.92668092990982</v>
      </c>
      <c r="F5" s="479">
        <f ca="1">tertiair!F16</f>
        <v>7917.0473939863123</v>
      </c>
      <c r="G5" s="479">
        <f>tertiair!G16</f>
        <v>0</v>
      </c>
      <c r="H5" s="479">
        <f>tertiair!H16</f>
        <v>0</v>
      </c>
      <c r="I5" s="479">
        <f>tertiair!I16</f>
        <v>0</v>
      </c>
      <c r="J5" s="479">
        <f>tertiair!J16</f>
        <v>0</v>
      </c>
      <c r="K5" s="479">
        <f>tertiair!K16</f>
        <v>0</v>
      </c>
      <c r="L5" s="479">
        <f ca="1">tertiair!L16</f>
        <v>0</v>
      </c>
      <c r="M5" s="479">
        <f>tertiair!M16</f>
        <v>0</v>
      </c>
      <c r="N5" s="479">
        <f ca="1">tertiair!N16</f>
        <v>5276.8037054218566</v>
      </c>
      <c r="O5" s="479">
        <f>tertiair!O16</f>
        <v>6.2533333333333339</v>
      </c>
      <c r="P5" s="480">
        <f>tertiair!P16</f>
        <v>38.133333333333333</v>
      </c>
      <c r="Q5" s="478">
        <f t="shared" ref="Q5:Q13" ca="1" si="0">SUM(B5:P5)</f>
        <v>121324.00434494136</v>
      </c>
    </row>
    <row r="6" spans="1:17">
      <c r="A6" s="478" t="s">
        <v>194</v>
      </c>
      <c r="B6" s="479">
        <f>'openbare verlichting'!B8</f>
        <v>3022.7579999999998</v>
      </c>
      <c r="C6" s="479"/>
      <c r="D6" s="479"/>
      <c r="E6" s="479"/>
      <c r="F6" s="479"/>
      <c r="G6" s="479"/>
      <c r="H6" s="479"/>
      <c r="I6" s="479"/>
      <c r="J6" s="479"/>
      <c r="K6" s="479"/>
      <c r="L6" s="479"/>
      <c r="M6" s="479"/>
      <c r="N6" s="479"/>
      <c r="O6" s="479"/>
      <c r="P6" s="480"/>
      <c r="Q6" s="478">
        <f t="shared" si="0"/>
        <v>3022.7579999999998</v>
      </c>
    </row>
    <row r="7" spans="1:17">
      <c r="A7" s="478" t="s">
        <v>112</v>
      </c>
      <c r="B7" s="479">
        <f>landbouw!B8</f>
        <v>1050.5282999999999</v>
      </c>
      <c r="C7" s="479">
        <f>landbouw!C8</f>
        <v>35.357142857142861</v>
      </c>
      <c r="D7" s="479">
        <f>landbouw!D8</f>
        <v>14537.858294756805</v>
      </c>
      <c r="E7" s="479">
        <f>landbouw!E8</f>
        <v>9.7304331162978421</v>
      </c>
      <c r="F7" s="479">
        <f>landbouw!F8</f>
        <v>2665.3904225357774</v>
      </c>
      <c r="G7" s="479">
        <f>landbouw!G8</f>
        <v>0</v>
      </c>
      <c r="H7" s="479">
        <f>landbouw!H8</f>
        <v>0</v>
      </c>
      <c r="I7" s="479">
        <f>landbouw!I8</f>
        <v>0</v>
      </c>
      <c r="J7" s="479">
        <f>landbouw!J8</f>
        <v>161.05771232004543</v>
      </c>
      <c r="K7" s="479">
        <f>landbouw!K8</f>
        <v>0</v>
      </c>
      <c r="L7" s="479">
        <f>landbouw!L8</f>
        <v>0</v>
      </c>
      <c r="M7" s="479">
        <f>landbouw!M8</f>
        <v>0</v>
      </c>
      <c r="N7" s="479">
        <f>landbouw!N8</f>
        <v>0</v>
      </c>
      <c r="O7" s="479">
        <f>landbouw!O8</f>
        <v>0</v>
      </c>
      <c r="P7" s="480">
        <f>landbouw!P8</f>
        <v>0</v>
      </c>
      <c r="Q7" s="478">
        <f t="shared" si="0"/>
        <v>18459.922305586068</v>
      </c>
    </row>
    <row r="8" spans="1:17">
      <c r="A8" s="478" t="s">
        <v>650</v>
      </c>
      <c r="B8" s="479">
        <f>industrie!B18</f>
        <v>3559.1724389999995</v>
      </c>
      <c r="C8" s="479">
        <f>industrie!C18</f>
        <v>0</v>
      </c>
      <c r="D8" s="479">
        <f>industrie!D18</f>
        <v>3957.3619521920832</v>
      </c>
      <c r="E8" s="479">
        <f>industrie!E18</f>
        <v>628.89141359998223</v>
      </c>
      <c r="F8" s="479">
        <f>industrie!F18</f>
        <v>3748.0549271515256</v>
      </c>
      <c r="G8" s="479">
        <f>industrie!G18</f>
        <v>0</v>
      </c>
      <c r="H8" s="479">
        <f>industrie!H18</f>
        <v>0</v>
      </c>
      <c r="I8" s="479">
        <f>industrie!I18</f>
        <v>0</v>
      </c>
      <c r="J8" s="479">
        <f>industrie!J18</f>
        <v>25.266153815466541</v>
      </c>
      <c r="K8" s="479">
        <f>industrie!K18</f>
        <v>0</v>
      </c>
      <c r="L8" s="479">
        <f>industrie!L18</f>
        <v>0</v>
      </c>
      <c r="M8" s="479">
        <f>industrie!M18</f>
        <v>0</v>
      </c>
      <c r="N8" s="479">
        <f>industrie!N18</f>
        <v>1306.786444224532</v>
      </c>
      <c r="O8" s="479">
        <f>industrie!O18</f>
        <v>0</v>
      </c>
      <c r="P8" s="480">
        <f>industrie!P18</f>
        <v>0</v>
      </c>
      <c r="Q8" s="478">
        <f t="shared" si="0"/>
        <v>13225.533329983587</v>
      </c>
    </row>
    <row r="9" spans="1:17" s="484" customFormat="1">
      <c r="A9" s="482" t="s">
        <v>571</v>
      </c>
      <c r="B9" s="483">
        <f>transport!B14</f>
        <v>13.691392249041563</v>
      </c>
      <c r="C9" s="483">
        <f>transport!C14</f>
        <v>0</v>
      </c>
      <c r="D9" s="483">
        <f>transport!D14</f>
        <v>33.375653144997763</v>
      </c>
      <c r="E9" s="483">
        <f>transport!E14</f>
        <v>223.11915171437286</v>
      </c>
      <c r="F9" s="483">
        <f>transport!F14</f>
        <v>0</v>
      </c>
      <c r="G9" s="483">
        <f>transport!G14</f>
        <v>81226.470081171472</v>
      </c>
      <c r="H9" s="483">
        <f>transport!H14</f>
        <v>12770.135640587874</v>
      </c>
      <c r="I9" s="483">
        <f>transport!I14</f>
        <v>0</v>
      </c>
      <c r="J9" s="483">
        <f>transport!J14</f>
        <v>0</v>
      </c>
      <c r="K9" s="483">
        <f>transport!K14</f>
        <v>0</v>
      </c>
      <c r="L9" s="483">
        <f>transport!L14</f>
        <v>0</v>
      </c>
      <c r="M9" s="483">
        <f>transport!M14</f>
        <v>5091.6895605765649</v>
      </c>
      <c r="N9" s="483">
        <f>transport!N14</f>
        <v>0</v>
      </c>
      <c r="O9" s="483">
        <f>transport!O14</f>
        <v>0</v>
      </c>
      <c r="P9" s="483">
        <f>transport!P14</f>
        <v>0</v>
      </c>
      <c r="Q9" s="482">
        <f>SUM(B9:P9)</f>
        <v>99358.481479444323</v>
      </c>
    </row>
    <row r="10" spans="1:17">
      <c r="A10" s="478" t="s">
        <v>561</v>
      </c>
      <c r="B10" s="479">
        <f>transport!B54</f>
        <v>1345.18964770202</v>
      </c>
      <c r="C10" s="479">
        <f>transport!C54</f>
        <v>0</v>
      </c>
      <c r="D10" s="479">
        <f>transport!D54</f>
        <v>0</v>
      </c>
      <c r="E10" s="479">
        <f>transport!E54</f>
        <v>0</v>
      </c>
      <c r="F10" s="479">
        <f>transport!F54</f>
        <v>0</v>
      </c>
      <c r="G10" s="479">
        <f>transport!G54</f>
        <v>1234.71418378987</v>
      </c>
      <c r="H10" s="479">
        <f>transport!H54</f>
        <v>0</v>
      </c>
      <c r="I10" s="479">
        <f>transport!I54</f>
        <v>0</v>
      </c>
      <c r="J10" s="479">
        <f>transport!J54</f>
        <v>0</v>
      </c>
      <c r="K10" s="479">
        <f>transport!K54</f>
        <v>0</v>
      </c>
      <c r="L10" s="479">
        <f>transport!L54</f>
        <v>0</v>
      </c>
      <c r="M10" s="479">
        <f>transport!M54</f>
        <v>70.412150515252605</v>
      </c>
      <c r="N10" s="479">
        <f>transport!N54</f>
        <v>0</v>
      </c>
      <c r="O10" s="479">
        <f>transport!O54</f>
        <v>0</v>
      </c>
      <c r="P10" s="480">
        <f>transport!P54</f>
        <v>0</v>
      </c>
      <c r="Q10" s="478">
        <f t="shared" si="0"/>
        <v>2650.3159820071423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113601.81308343307</v>
      </c>
      <c r="C14" s="489">
        <f t="shared" ref="C14:Q14" ca="1" si="1">SUM(C4:C13)</f>
        <v>35.357142857142861</v>
      </c>
      <c r="D14" s="489">
        <f t="shared" ca="1" si="1"/>
        <v>189092.45636232031</v>
      </c>
      <c r="E14" s="489">
        <f t="shared" si="1"/>
        <v>1627.6676793605629</v>
      </c>
      <c r="F14" s="489">
        <f t="shared" ca="1" si="1"/>
        <v>14330.492743673614</v>
      </c>
      <c r="G14" s="489">
        <f t="shared" si="1"/>
        <v>82461.184264961339</v>
      </c>
      <c r="H14" s="489">
        <f t="shared" si="1"/>
        <v>12770.135640587874</v>
      </c>
      <c r="I14" s="489">
        <f t="shared" si="1"/>
        <v>0</v>
      </c>
      <c r="J14" s="489">
        <f t="shared" si="1"/>
        <v>186.32386613551196</v>
      </c>
      <c r="K14" s="489">
        <f t="shared" si="1"/>
        <v>0</v>
      </c>
      <c r="L14" s="489">
        <f t="shared" ca="1" si="1"/>
        <v>0</v>
      </c>
      <c r="M14" s="489">
        <f t="shared" si="1"/>
        <v>5162.1017110918174</v>
      </c>
      <c r="N14" s="489">
        <f t="shared" ca="1" si="1"/>
        <v>6583.5901496463885</v>
      </c>
      <c r="O14" s="489">
        <f t="shared" si="1"/>
        <v>343.93333333333334</v>
      </c>
      <c r="P14" s="490">
        <f t="shared" si="1"/>
        <v>762.66666666666663</v>
      </c>
      <c r="Q14" s="490">
        <f t="shared" ca="1" si="1"/>
        <v>426957.72264406754</v>
      </c>
    </row>
    <row r="16" spans="1:17">
      <c r="A16" s="492" t="s">
        <v>566</v>
      </c>
      <c r="B16" s="842">
        <f ca="1">huishoudens!B10</f>
        <v>0.21455972401376538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12081.669247619655</v>
      </c>
      <c r="C21" s="479">
        <f t="shared" ref="C21:C30" ca="1" si="3">C4*$C$16</f>
        <v>0</v>
      </c>
      <c r="D21" s="479">
        <f t="shared" ref="D21:D30" si="4">D4*$D$16</f>
        <v>22532.165520586546</v>
      </c>
      <c r="E21" s="479">
        <f t="shared" ref="E21:E30" si="5">E4*$E$16</f>
        <v>0</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34613.834768206201</v>
      </c>
    </row>
    <row r="22" spans="1:17">
      <c r="A22" s="478" t="s">
        <v>156</v>
      </c>
      <c r="B22" s="479">
        <f t="shared" ca="1" si="2"/>
        <v>10363.525033539376</v>
      </c>
      <c r="C22" s="479">
        <f t="shared" ca="1" si="3"/>
        <v>0</v>
      </c>
      <c r="D22" s="479">
        <f t="shared" ca="1" si="4"/>
        <v>11921.734292783198</v>
      </c>
      <c r="E22" s="479">
        <f t="shared" si="5"/>
        <v>173.86535657108954</v>
      </c>
      <c r="F22" s="479">
        <f t="shared" ca="1" si="6"/>
        <v>2113.8516541943454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24572.976337088006</v>
      </c>
    </row>
    <row r="23" spans="1:17">
      <c r="A23" s="478" t="s">
        <v>194</v>
      </c>
      <c r="B23" s="479">
        <f t="shared" ca="1" si="2"/>
        <v>648.56212224040144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648.56212224040144</v>
      </c>
    </row>
    <row r="24" spans="1:17">
      <c r="A24" s="478" t="s">
        <v>112</v>
      </c>
      <c r="B24" s="479">
        <f t="shared" ca="1" si="2"/>
        <v>225.40106211665011</v>
      </c>
      <c r="C24" s="479">
        <f t="shared" ca="1" si="3"/>
        <v>8.4025210084033635</v>
      </c>
      <c r="D24" s="479">
        <f t="shared" si="4"/>
        <v>2936.6473755408747</v>
      </c>
      <c r="E24" s="479">
        <f t="shared" si="5"/>
        <v>2.20880831739961</v>
      </c>
      <c r="F24" s="479">
        <f t="shared" si="6"/>
        <v>711.65924281705259</v>
      </c>
      <c r="G24" s="479">
        <f t="shared" si="7"/>
        <v>0</v>
      </c>
      <c r="H24" s="479">
        <f t="shared" si="8"/>
        <v>0</v>
      </c>
      <c r="I24" s="479">
        <f t="shared" si="9"/>
        <v>0</v>
      </c>
      <c r="J24" s="479">
        <f t="shared" si="10"/>
        <v>57.014430161296076</v>
      </c>
      <c r="K24" s="479">
        <f t="shared" si="11"/>
        <v>0</v>
      </c>
      <c r="L24" s="479">
        <f t="shared" si="12"/>
        <v>0</v>
      </c>
      <c r="M24" s="479">
        <f t="shared" si="13"/>
        <v>0</v>
      </c>
      <c r="N24" s="479">
        <f t="shared" si="14"/>
        <v>0</v>
      </c>
      <c r="O24" s="479">
        <f t="shared" si="15"/>
        <v>0</v>
      </c>
      <c r="P24" s="480">
        <f t="shared" si="16"/>
        <v>0</v>
      </c>
      <c r="Q24" s="478">
        <f t="shared" ca="1" si="17"/>
        <v>3941.333439961676</v>
      </c>
    </row>
    <row r="25" spans="1:17">
      <c r="A25" s="478" t="s">
        <v>650</v>
      </c>
      <c r="B25" s="479">
        <f t="shared" ca="1" si="2"/>
        <v>763.65505622924013</v>
      </c>
      <c r="C25" s="479">
        <f t="shared" ca="1" si="3"/>
        <v>0</v>
      </c>
      <c r="D25" s="479">
        <f t="shared" si="4"/>
        <v>799.38711434280083</v>
      </c>
      <c r="E25" s="479">
        <f t="shared" si="5"/>
        <v>142.75835088719597</v>
      </c>
      <c r="F25" s="479">
        <f t="shared" si="6"/>
        <v>1000.7306655494574</v>
      </c>
      <c r="G25" s="479">
        <f t="shared" si="7"/>
        <v>0</v>
      </c>
      <c r="H25" s="479">
        <f t="shared" si="8"/>
        <v>0</v>
      </c>
      <c r="I25" s="479">
        <f t="shared" si="9"/>
        <v>0</v>
      </c>
      <c r="J25" s="479">
        <f t="shared" si="10"/>
        <v>8.9442184506751552</v>
      </c>
      <c r="K25" s="479">
        <f t="shared" si="11"/>
        <v>0</v>
      </c>
      <c r="L25" s="479">
        <f t="shared" si="12"/>
        <v>0</v>
      </c>
      <c r="M25" s="479">
        <f t="shared" si="13"/>
        <v>0</v>
      </c>
      <c r="N25" s="479">
        <f t="shared" si="14"/>
        <v>0</v>
      </c>
      <c r="O25" s="479">
        <f t="shared" si="15"/>
        <v>0</v>
      </c>
      <c r="P25" s="480">
        <f t="shared" si="16"/>
        <v>0</v>
      </c>
      <c r="Q25" s="478">
        <f t="shared" ca="1" si="17"/>
        <v>2715.4754054593695</v>
      </c>
    </row>
    <row r="26" spans="1:17" s="484" customFormat="1">
      <c r="A26" s="482" t="s">
        <v>571</v>
      </c>
      <c r="B26" s="836">
        <f t="shared" ca="1" si="2"/>
        <v>2.9376213423185642</v>
      </c>
      <c r="C26" s="483">
        <f t="shared" ca="1" si="3"/>
        <v>0</v>
      </c>
      <c r="D26" s="483">
        <f t="shared" si="4"/>
        <v>6.7418819352895483</v>
      </c>
      <c r="E26" s="483">
        <f t="shared" si="5"/>
        <v>50.648047439162639</v>
      </c>
      <c r="F26" s="483">
        <f t="shared" si="6"/>
        <v>0</v>
      </c>
      <c r="G26" s="483">
        <f t="shared" si="7"/>
        <v>21687.467511672785</v>
      </c>
      <c r="H26" s="483">
        <f t="shared" si="8"/>
        <v>3179.7637745063807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24927.558836895936</v>
      </c>
    </row>
    <row r="27" spans="1:17">
      <c r="A27" s="478" t="s">
        <v>561</v>
      </c>
      <c r="B27" s="479">
        <f t="shared" ca="1" si="2"/>
        <v>288.62351955711972</v>
      </c>
      <c r="C27" s="479">
        <f t="shared" ca="1" si="3"/>
        <v>0</v>
      </c>
      <c r="D27" s="479">
        <f t="shared" si="4"/>
        <v>0</v>
      </c>
      <c r="E27" s="479">
        <f t="shared" si="5"/>
        <v>0</v>
      </c>
      <c r="F27" s="479">
        <f t="shared" si="6"/>
        <v>0</v>
      </c>
      <c r="G27" s="479">
        <f t="shared" si="7"/>
        <v>329.66868707189531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618.29220662901503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24374.373662644761</v>
      </c>
      <c r="C31" s="489">
        <f t="shared" ca="1" si="18"/>
        <v>8.4025210084033635</v>
      </c>
      <c r="D31" s="489">
        <f t="shared" ca="1" si="18"/>
        <v>38196.676185188713</v>
      </c>
      <c r="E31" s="489">
        <f t="shared" si="18"/>
        <v>369.48056321484773</v>
      </c>
      <c r="F31" s="489">
        <f t="shared" ca="1" si="18"/>
        <v>3826.2415625608555</v>
      </c>
      <c r="G31" s="489">
        <f t="shared" si="18"/>
        <v>22017.13619874468</v>
      </c>
      <c r="H31" s="489">
        <f t="shared" si="18"/>
        <v>3179.7637745063807</v>
      </c>
      <c r="I31" s="489">
        <f t="shared" si="18"/>
        <v>0</v>
      </c>
      <c r="J31" s="489">
        <f t="shared" si="18"/>
        <v>65.958648611971228</v>
      </c>
      <c r="K31" s="489">
        <f t="shared" si="18"/>
        <v>0</v>
      </c>
      <c r="L31" s="489">
        <f t="shared" ca="1" si="18"/>
        <v>0</v>
      </c>
      <c r="M31" s="489">
        <f t="shared" si="18"/>
        <v>0</v>
      </c>
      <c r="N31" s="489">
        <f t="shared" ca="1" si="18"/>
        <v>0</v>
      </c>
      <c r="O31" s="489">
        <f t="shared" si="18"/>
        <v>0</v>
      </c>
      <c r="P31" s="490">
        <f t="shared" si="18"/>
        <v>0</v>
      </c>
      <c r="Q31" s="490">
        <f t="shared" ca="1" si="18"/>
        <v>92038.033116480612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0.21455972401376538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0.21455972401376538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0.21455972401376538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2018-06-27T09:37:12Z</dcterms:modified>
</cp:coreProperties>
</file>