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D16" i="16"/>
  <c r="C16" i="15"/>
  <c r="D6" i="17"/>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14"/>
  <c r="O13" i="14"/>
  <c r="O15" s="1"/>
  <c r="N22" i="16"/>
  <c r="O39" i="14" s="1"/>
  <c r="O41" s="1"/>
  <c r="N31" i="48"/>
  <c r="K13" i="14"/>
  <c r="K15" s="1"/>
  <c r="K23" s="1"/>
  <c r="K55" s="1"/>
  <c r="E14" i="48"/>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<sst xmlns="http://schemas.openxmlformats.org/spreadsheetml/2006/main" count="1959" uniqueCount="841">
  <si>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</si>
  <si>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</si>
  <si>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</si>
  <si>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</si>
  <si>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</si>
  <si>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</si>
  <si>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</si>
  <si>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</si>
  <si>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</si>
  <si>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</si>
  <si>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</si>
  <si>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</si>
  <si>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</si>
  <si>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</si>
  <si>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</si>
  <si>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</si>
  <si>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</si>
  <si>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</si>
  <si>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</si>
  <si>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</si>
  <si>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</si>
  <si>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</si>
  <si>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</si>
  <si>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</si>
  <si>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</si>
  <si>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</si>
  <si>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</si>
  <si>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</si>
  <si>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</si>
  <si>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</si>
  <si>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</si>
  <si>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</si>
  <si>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</si>
  <si>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</si>
  <si>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</si>
  <si>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</si>
  <si>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</si>
  <si>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</si>
  <si>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</si>
  <si>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</si>
  <si>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</si>
  <si>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</si>
  <si>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</si>
  <si>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</si>
  <si>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</si>
  <si>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</si>
  <si>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</si>
  <si>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</si>
  <si>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</si>
  <si>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</si>
  <si>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</si>
  <si>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</si>
  <si>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</si>
  <si>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</si>
  <si>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</si>
  <si>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</si>
  <si>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</si>
  <si>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</si>
  <si>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</si>
  <si>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</si>
  <si>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</si>
  <si>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</si>
  <si>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</si>
  <si>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</si>
  <si>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</si>
  <si>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</si>
  <si>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</si>
  <si>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</si>
  <si>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</si>
  <si>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</si>
  <si>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</si>
  <si>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</si>
  <si>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</si>
  <si>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</si>
  <si>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</si>
  <si>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</si>
  <si>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</si>
  <si>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</si>
  <si>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</si>
  <si>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</si>
  <si>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</si>
  <si>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</si>
  <si>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</si>
  <si>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</si>
  <si>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</si>
  <si>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</si>
  <si>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</si>
  <si>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</si>
  <si>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</si>
  <si>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</si>
  <si>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</si>
  <si>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</si>
  <si>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</si>
  <si>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</si>
  <si>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</si>
  <si>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</si>
  <si>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</si>
  <si>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</si>
  <si>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</si>
  <si>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</si>
  <si>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</si>
  <si>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</si>
  <si>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</si>
  <si>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</si>
  <si>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</si>
  <si>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</si>
  <si>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</si>
  <si>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</si>
  <si>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</si>
  <si>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</si>
  <si>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</si>
  <si>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</si>
  <si>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</si>
  <si>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</si>
  <si>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</si>
  <si>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</si>
  <si>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</si>
  <si>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</si>
  <si>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</si>
  <si>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</si>
  <si>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</si>
  <si>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</si>
  <si>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</si>
  <si>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</si>
  <si>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</si>
  <si>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</si>
  <si>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</si>
  <si>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</si>
  <si>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</si>
  <si>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</si>
  <si>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</si>
  <si>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</si>
  <si>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</si>
  <si>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</si>
  <si>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</si>
  <si>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</si>
  <si>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</si>
  <si>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</si>
  <si>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</si>
  <si>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</si>
  <si>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</si>
  <si>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</si>
  <si>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</si>
  <si>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</si>
  <si>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</si>
  <si>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</si>
  <si>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</si>
  <si>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</si>
  <si>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</si>
  <si>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</si>
  <si>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</si>
  <si>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</si>
  <si>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</si>
  <si>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</si>
  <si>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</si>
  <si>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</si>
  <si>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</si>
  <si>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</si>
  <si>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</si>
  <si>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</si>
  <si>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</si>
  <si>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</si>
  <si>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</si>
  <si>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</si>
  <si>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</si>
  <si>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</si>
  <si>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</si>
  <si>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</si>
  <si>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</si>
  <si>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</si>
  <si>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</si>
  <si>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</si>
  <si>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</si>
  <si>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</si>
  <si>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</si>
  <si>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</si>
  <si>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</si>
  <si>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</si>
  <si>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</si>
  <si>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</si>
  <si>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</si>
  <si>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</si>
  <si>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</si>
  <si>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</si>
  <si>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</si>
  <si>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</si>
  <si>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</si>
  <si>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</si>
  <si>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</si>
  <si>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</si>
  <si>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</si>
  <si>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</si>
  <si>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</si>
  <si>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</si>
  <si>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</si>
  <si>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</si>
  <si>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</si>
  <si>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</si>
  <si>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</si>
  <si>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</si>
  <si>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</si>
  <si>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</si>
  <si>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</si>
  <si>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</si>
  <si>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</si>
  <si>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</si>
  <si>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</si>
  <si>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</si>
  <si>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</si>
  <si>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</si>
  <si>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</si>
  <si>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</si>
  <si>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</si>
  <si>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</si>
  <si>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</si>
  <si>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</si>
  <si>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</si>
  <si>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</si>
  <si>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</si>
  <si>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</si>
  <si>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</si>
  <si>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</si>
  <si>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</si>
  <si>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</si>
  <si>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</si>
  <si>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</si>
  <si>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</si>
  <si>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</si>
  <si>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</si>
  <si>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</si>
  <si>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</si>
  <si>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</si>
  <si>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</si>
  <si>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</si>
  <si>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</si>
  <si>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</si>
  <si>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</si>
  <si>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</si>
  <si>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</si>
  <si>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</si>
  <si>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</si>
  <si>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</si>
  <si>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</si>
  <si>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</si>
  <si>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</si>
  <si>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</si>
  <si>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</si>
  <si>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</si>
  <si>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</si>
  <si>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</si>
  <si>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</si>
  <si>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</si>
  <si>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</si>
  <si>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</si>
  <si>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</si>
  <si>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</si>
  <si>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</si>
  <si>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</si>
  <si>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</si>
  <si>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</si>
  <si>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</si>
  <si>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</si>
  <si>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</si>
  <si>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</si>
  <si>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</si>
  <si>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</si>
  <si>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</si>
  <si>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</si>
  <si>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</si>
  <si>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</si>
  <si>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</si>
  <si>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</si>
  <si>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</si>
  <si>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</si>
  <si>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</si>
  <si>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</si>
  <si>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</si>
  <si>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</si>
  <si>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</si>
  <si>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</si>
  <si>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</si>
  <si>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</si>
  <si>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</si>
  <si>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</si>
  <si>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</si>
  <si>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</si>
  <si>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</si>
  <si>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</si>
  <si>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</si>
  <si>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</si>
  <si>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</si>
  <si>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</si>
  <si>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</si>
  <si>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</si>
  <si>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</si>
  <si>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</si>
  <si>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</si>
  <si>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</si>
  <si>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</si>
  <si>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</si>
  <si>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</si>
  <si>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</si>
  <si>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</si>
  <si>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</si>
  <si>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</si>
  <si>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</si>
  <si>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</si>
  <si>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</si>
  <si>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</si>
  <si>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</si>
  <si>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</si>
  <si>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</si>
  <si>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</si>
  <si>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</si>
  <si>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</si>
  <si>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</si>
  <si>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</si>
  <si>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</si>
  <si>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</si>
  <si>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</si>
  <si>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</si>
  <si>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</si>
  <si>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</si>
  <si>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</si>
  <si>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</si>
  <si>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</si>
  <si>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</si>
  <si>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</si>
  <si>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</si>
  <si>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</si>
  <si>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</si>
  <si>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</si>
  <si>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</si>
  <si>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</si>
  <si>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</si>
  <si>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</si>
  <si>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</si>
  <si>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</si>
  <si>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</si>
  <si>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</si>
  <si>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</si>
  <si>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</si>
  <si>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</si>
  <si>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</si>
  <si>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</si>
  <si>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</si>
  <si>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</si>
  <si>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</si>
  <si>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</si>
  <si>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</si>
  <si>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</si>
  <si>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</si>
  <si>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</si>
  <si>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</si>
  <si>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</si>
  <si>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</si>
  <si>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</si>
  <si>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</si>
  <si>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</si>
  <si>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</si>
  <si>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</si>
  <si>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</si>
  <si>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</si>
  <si>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</si>
  <si>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</si>
  <si>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</si>
  <si>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</si>
  <si>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</si>
  <si>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</si>
  <si>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</si>
  <si>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</si>
  <si>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</si>
  <si>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</si>
  <si>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</si>
  <si>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</si>
  <si>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</si>
  <si>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</si>
  <si>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</si>
  <si>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</si>
  <si>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</si>
  <si>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</si>
  <si>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</si>
  <si>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</si>
  <si>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</si>
  <si>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</si>
  <si>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</si>
  <si>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</si>
  <si>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</si>
  <si>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</si>
  <si>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</si>
  <si>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</si>
  <si>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</si>
  <si>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</si>
  <si>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</si>
  <si>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</si>
  <si>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</si>
  <si>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</si>
  <si>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</si>
  <si>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</si>
  <si>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</si>
  <si>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</si>
  <si>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</si>
  <si>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</si>
  <si>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</si>
  <si>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</si>
  <si>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</si>
  <si>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</si>
  <si>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</si>
  <si>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</si>
  <si>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</si>
  <si>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</si>
  <si>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</si>
  <si>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</si>
  <si>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</si>
  <si>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</si>
  <si>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</si>
  <si>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</si>
  <si>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</si>
  <si>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</si>
  <si>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</si>
  <si>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</si>
  <si>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</si>
  <si>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</si>
  <si>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</si>
  <si>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</si>
  <si>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</si>
  <si>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</si>
  <si>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</si>
  <si>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</si>
  <si>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</si>
  <si>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</si>
  <si>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</si>
  <si>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</si>
  <si>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</si>
  <si>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</si>
  <si>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</si>
  <si>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</si>
  <si>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</si>
  <si>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</si>
  <si>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</si>
  <si>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</si>
  <si>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</si>
  <si>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</si>
  <si>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</si>
  <si>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</si>
  <si>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</si>
  <si>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</si>
  <si>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</si>
  <si>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</si>
  <si>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</si>
  <si>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</si>
  <si>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</si>
  <si>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</si>
  <si>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</si>
  <si>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</si>
  <si>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</si>
  <si>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</si>
  <si>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</si>
  <si>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</si>
  <si>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</si>
  <si>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</si>
  <si>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</si>
  <si>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</si>
  <si>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</si>
  <si>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</si>
  <si>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</si>
  <si>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</si>
  <si>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</si>
  <si>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</si>
  <si>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</si>
  <si>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</si>
  <si>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</si>
  <si>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</si>
  <si>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</si>
  <si>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</si>
  <si>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</si>
  <si>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</si>
  <si>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</si>
  <si>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</si>
  <si>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</si>
  <si>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</si>
  <si>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</si>
  <si>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</si>
  <si>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</si>
  <si>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</si>
  <si>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</si>
  <si>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</si>
  <si>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</si>
  <si>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</si>
  <si>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</si>
  <si>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</si>
  <si>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</si>
  <si>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</si>
  <si>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</si>
  <si>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</si>
  <si>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</si>
  <si>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</si>
  <si>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</si>
  <si>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</si>
  <si>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</si>
  <si>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</si>
  <si>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</si>
  <si>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</si>
  <si>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</si>
  <si>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</si>
  <si>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</si>
  <si>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</si>
  <si>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</si>
  <si>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</si>
  <si>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</si>
  <si>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</si>
  <si>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</si>
  <si>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</si>
  <si>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</si>
  <si>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</si>
  <si>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</si>
  <si>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</si>
  <si>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</si>
  <si>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</si>
  <si>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</si>
  <si>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</si>
  <si>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</si>
  <si>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</si>
  <si>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</si>
  <si>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</si>
  <si>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</si>
  <si>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</si>
  <si>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</si>
  <si>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</si>
  <si>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</si>
  <si>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</si>
  <si>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</si>
  <si>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</si>
  <si>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</si>
  <si>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</si>
  <si>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</si>
  <si>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</si>
  <si>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</si>
  <si>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</si>
  <si>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</si>
  <si>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</si>
  <si>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</si>
  <si>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</si>
  <si>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</si>
  <si>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</si>
  <si>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</si>
  <si>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</si>
  <si>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</si>
  <si>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</si>
  <si>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</si>
  <si>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</si>
  <si>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</si>
  <si>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</si>
  <si>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</si>
  <si>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</si>
  <si>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</si>
  <si>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</si>
  <si>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</si>
  <si>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</si>
  <si>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</si>
  <si>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</si>
  <si>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</si>
  <si>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</si>
  <si>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</si>
  <si>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</si>
  <si>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</si>
  <si>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</si>
  <si>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</si>
  <si>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</si>
  <si>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</si>
  <si>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</si>
  <si>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</si>
  <si>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</si>
  <si>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</si>
  <si>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</si>
  <si>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</si>
  <si>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</si>
  <si>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</si>
  <si>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</si>
  <si>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</si>
  <si>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</si>
  <si>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</si>
  <si>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</si>
  <si>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</si>
  <si>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</si>
  <si>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</si>
  <si>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</si>
  <si>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</si>
  <si>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</si>
  <si>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</si>
  <si>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</si>
  <si>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</si>
  <si>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</si>
  <si>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</si>
  <si>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</si>
  <si>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</si>
  <si>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</si>
  <si>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</si>
  <si>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</si>
  <si>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</si>
  <si>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</si>
  <si>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</si>
  <si>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</si>
  <si>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</si>
  <si>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</si>
  <si>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</si>
  <si>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</si>
  <si>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</si>
  <si>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</si>
  <si>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</si>
  <si>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</si>
  <si>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</si>
  <si>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</si>
  <si>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</si>
  <si>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</si>
  <si>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</si>
  <si>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</si>
  <si>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</si>
  <si>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</si>
  <si>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</si>
  <si>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</si>
  <si>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</si>
  <si>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</si>
  <si>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</si>
  <si>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</si>
  <si>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</si>
  <si>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</si>
  <si>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</si>
  <si>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</si>
  <si>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</si>
  <si>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</si>
  <si>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</si>
  <si>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</si>
  <si>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</si>
  <si>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</si>
  <si>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</si>
  <si>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</si>
  <si>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</si>
  <si>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</si>
  <si>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</si>
  <si>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</si>
  <si>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</si>
  <si>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</si>
  <si>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</si>
  <si>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</si>
  <si>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</si>
  <si>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</si>
  <si>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</si>
  <si>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</si>
  <si>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</si>
  <si>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</si>
  <si>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</si>
  <si>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</si>
  <si>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</si>
  <si>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</si>
  <si>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</si>
  <si>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</si>
  <si>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</si>
  <si>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</si>
  <si>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</si>
  <si>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</si>
  <si>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</si>
  <si>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</si>
  <si>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</si>
  <si>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</si>
  <si>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</si>
  <si>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</si>
  <si>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</si>
  <si>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</si>
  <si>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</si>
  <si>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</si>
  <si>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</si>
  <si>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</si>
  <si>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</si>
  <si>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</si>
  <si>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</si>
  <si>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</si>
  <si>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</si>
  <si>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</si>
  <si>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</si>
  <si>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</si>
  <si>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</si>
  <si>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</si>
  <si>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</si>
  <si>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</si>
  <si>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</si>
  <si>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</si>
  <si>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</si>
  <si>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</si>
  <si>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</si>
  <si>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</si>
  <si>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</si>
  <si>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</si>
  <si>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</si>
  <si>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</si>
  <si>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</si>
  <si>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</si>
  <si>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</si>
  <si>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</si>
  <si>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</si>
  <si>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</si>
  <si>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</si>
  <si>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</si>
  <si>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</si>
  <si>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</si>
  <si>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</si>
  <si>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</si>
  <si>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</si>
  <si>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</si>
  <si>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</si>
  <si>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</si>
  <si>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</si>
  <si>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</si>
  <si>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</si>
  <si>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</si>
  <si>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</si>
  <si>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</si>
  <si>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</si>
  <si>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</si>
  <si>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</si>
  <si>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</si>
  <si>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</si>
  <si>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</si>
  <si>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</si>
  <si>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</si>
  <si>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</si>
  <si>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</si>
  <si>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</si>
  <si>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</si>
  <si>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</si>
  <si>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</si>
  <si>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</si>
  <si>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</si>
  <si>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</si>
  <si>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</si>
  <si>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</si>
  <si>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</si>
  <si>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</si>
  <si>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</si>
  <si>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</si>
  <si>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</si>
  <si>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</si>
  <si>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</si>
  <si>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</si>
  <si>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</si>
  <si>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</si>
  <si>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</si>
  <si>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</si>
  <si>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</si>
  <si>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</si>
  <si>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</si>
  <si>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</si>
  <si>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</si>
  <si>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</si>
  <si>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</si>
  <si>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</si>
  <si>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</si>
  <si>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</si>
  <si>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</si>
  <si>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</si>
  <si>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</si>
  <si>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</si>
  <si>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</si>
  <si>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</si>
  <si>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</si>
  <si>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</si>
  <si>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</si>
  <si>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</si>
  <si>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</si>
  <si>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</si>
  <si>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</si>
  <si>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</si>
  <si>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</si>
  <si>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</si>
  <si>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</si>
  <si>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</si>
  <si>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</si>
  <si>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</si>
  <si>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</si>
  <si>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</si>
  <si>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</si>
  <si>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</si>
  <si>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</si>
  <si>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</si>
  <si>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</si>
  <si>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</si>
  <si>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</si>
  <si>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</si>
  <si>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</si>
  <si>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</si>
  <si>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</si>
  <si>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</si>
  <si>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</si>
  <si>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</si>
  <si>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</si>
  <si>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</si>
  <si>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</si>
  <si>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</si>
  <si>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</si>
  <si>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</si>
  <si>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</si>
  <si>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</si>
  <si>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</si>
  <si>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</si>
  <si>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</si>
  <si>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</si>
  <si>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</si>
  <si>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</si>
  <si>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</si>
  <si>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</si>
  <si>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</si>
  <si>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</si>
  <si>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</si>
  <si>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</si>
  <si>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</si>
  <si>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</si>
  <si>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</si>
  <si>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</si>
  <si>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</si>
  <si>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</si>
  <si>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</si>
  <si>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</si>
  <si>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</si>
  <si>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</si>
  <si>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</si>
  <si>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</si>
  <si>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36011</t>
  </si>
  <si>
    <t>LICHTERVELDE</t>
  </si>
  <si>
    <t>Paarden&amp;pony's 200 - 600 kg</t>
  </si>
  <si>
    <t>Paarden&amp;pony's &lt; 200 kg</t>
  </si>
  <si>
    <t>referentietaak LNE (2017); Jaarverslag De Lijn (2014)</t>
  </si>
  <si>
    <t>op basis van VEA (maart 2018) en Inventaris Hernieuwbare Energiebronnen (juni 2018)</t>
  </si>
  <si>
    <t>VEA (maart 2016)</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</si>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</sst>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68618.674641607722</c:v>
                </c:pt>
                <c:pt idx="1">
                  <c:v>30401.321614010023</c:v>
                </c:pt>
                <c:pt idx="2">
                  <c:v>541.97390000000007</c:v>
                </c:pt>
                <c:pt idx="3">
                  <c:v>19649.538533959971</c:v>
                </c:pt>
                <c:pt idx="4">
                  <c:v>74251.265676086623</c:v>
                </c:pt>
                <c:pt idx="5">
                  <c:v>147265.07955341486</c:v>
                </c:pt>
                <c:pt idx="6">
                  <c:v>347.25005276064985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68618.674641607722</c:v>
                </c:pt>
                <c:pt idx="1">
                  <c:v>30401.321614010023</c:v>
                </c:pt>
                <c:pt idx="2">
                  <c:v>541.97390000000007</c:v>
                </c:pt>
                <c:pt idx="3">
                  <c:v>19649.538533959971</c:v>
                </c:pt>
                <c:pt idx="4">
                  <c:v>74251.265676086623</c:v>
                </c:pt>
                <c:pt idx="5">
                  <c:v>147265.07955341486</c:v>
                </c:pt>
                <c:pt idx="6">
                  <c:v>347.25005276064985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13026.22104625429</c:v>
                </c:pt>
                <c:pt idx="1">
                  <c:v>6169.9228232601836</c:v>
                </c:pt>
                <c:pt idx="2">
                  <c:v>112.64930953686455</c:v>
                </c:pt>
                <c:pt idx="3">
                  <c:v>4871.0078359101844</c:v>
                </c:pt>
                <c:pt idx="4">
                  <c:v>14830.052078792742</c:v>
                </c:pt>
                <c:pt idx="5">
                  <c:v>36948.095474501868</c:v>
                </c:pt>
                <c:pt idx="6">
                  <c:v>87.713707072043789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13026.22104625429</c:v>
                </c:pt>
                <c:pt idx="1">
                  <c:v>6169.9228232601836</c:v>
                </c:pt>
                <c:pt idx="2">
                  <c:v>112.64930953686455</c:v>
                </c:pt>
                <c:pt idx="3">
                  <c:v>4871.0078359101844</c:v>
                </c:pt>
                <c:pt idx="4">
                  <c:v>14830.052078792742</c:v>
                </c:pt>
                <c:pt idx="5">
                  <c:v>36948.095474501868</c:v>
                </c:pt>
                <c:pt idx="6">
                  <c:v>87.713707072043789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36011</v>
      </c>
      <c r="B6" s="416"/>
      <c r="C6" s="417"/>
    </row>
    <row r="7" spans="1:7" s="414" customFormat="1" ht="15.75" customHeight="1">
      <c r="A7" s="418" t="str">
        <f>txtMunicipality</f>
        <v>LICHTERVELDE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3530</v>
      </c>
      <c r="C9" s="342">
        <v>3656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1749</v>
      </c>
    </row>
    <row r="15" spans="1:6">
      <c r="A15" s="348" t="s">
        <v>184</v>
      </c>
      <c r="B15" s="334">
        <v>1214</v>
      </c>
    </row>
    <row r="16" spans="1:6">
      <c r="A16" s="348" t="s">
        <v>6</v>
      </c>
      <c r="B16" s="334">
        <v>881</v>
      </c>
    </row>
    <row r="17" spans="1:6">
      <c r="A17" s="348" t="s">
        <v>7</v>
      </c>
      <c r="B17" s="334">
        <v>866</v>
      </c>
    </row>
    <row r="18" spans="1:6">
      <c r="A18" s="348" t="s">
        <v>8</v>
      </c>
      <c r="B18" s="334">
        <v>1056</v>
      </c>
    </row>
    <row r="19" spans="1:6">
      <c r="A19" s="348" t="s">
        <v>9</v>
      </c>
      <c r="B19" s="334">
        <v>958</v>
      </c>
    </row>
    <row r="20" spans="1:6">
      <c r="A20" s="348" t="s">
        <v>10</v>
      </c>
      <c r="B20" s="334">
        <v>848</v>
      </c>
    </row>
    <row r="21" spans="1:6">
      <c r="A21" s="348" t="s">
        <v>11</v>
      </c>
      <c r="B21" s="334">
        <v>12229</v>
      </c>
    </row>
    <row r="22" spans="1:6">
      <c r="A22" s="348" t="s">
        <v>12</v>
      </c>
      <c r="B22" s="334">
        <v>55916</v>
      </c>
    </row>
    <row r="23" spans="1:6">
      <c r="A23" s="348" t="s">
        <v>13</v>
      </c>
      <c r="B23" s="334">
        <v>891</v>
      </c>
    </row>
    <row r="24" spans="1:6">
      <c r="A24" s="348" t="s">
        <v>14</v>
      </c>
      <c r="B24" s="334">
        <v>175</v>
      </c>
    </row>
    <row r="25" spans="1:6">
      <c r="A25" s="348" t="s">
        <v>15</v>
      </c>
      <c r="B25" s="334">
        <v>3863</v>
      </c>
    </row>
    <row r="26" spans="1:6">
      <c r="A26" s="348" t="s">
        <v>16</v>
      </c>
      <c r="B26" s="334">
        <v>99</v>
      </c>
    </row>
    <row r="27" spans="1:6">
      <c r="A27" s="348" t="s">
        <v>17</v>
      </c>
      <c r="B27" s="334">
        <v>6</v>
      </c>
    </row>
    <row r="28" spans="1:6" s="356" customFormat="1">
      <c r="A28" s="355" t="s">
        <v>18</v>
      </c>
      <c r="B28" s="355">
        <v>263781</v>
      </c>
    </row>
    <row r="29" spans="1:6">
      <c r="A29" s="355" t="s">
        <v>828</v>
      </c>
      <c r="B29" s="355">
        <v>29</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20280.75</v>
      </c>
    </row>
    <row r="39" spans="1:6">
      <c r="A39" s="348" t="s">
        <v>30</v>
      </c>
      <c r="B39" s="348" t="s">
        <v>31</v>
      </c>
      <c r="C39" s="334">
        <v>2039</v>
      </c>
      <c r="D39" s="334">
        <v>29283457.0664621</v>
      </c>
      <c r="E39" s="334">
        <v>3314</v>
      </c>
      <c r="F39" s="334">
        <v>15119785</v>
      </c>
    </row>
    <row r="40" spans="1:6">
      <c r="A40" s="348" t="s">
        <v>30</v>
      </c>
      <c r="B40" s="348" t="s">
        <v>29</v>
      </c>
      <c r="C40" s="334">
        <v>0</v>
      </c>
      <c r="D40" s="334">
        <v>0</v>
      </c>
      <c r="E40" s="334">
        <v>0</v>
      </c>
      <c r="F40" s="334">
        <v>0</v>
      </c>
    </row>
    <row r="41" spans="1:6">
      <c r="A41" s="348" t="s">
        <v>32</v>
      </c>
      <c r="B41" s="348" t="s">
        <v>33</v>
      </c>
      <c r="C41" s="334">
        <v>24</v>
      </c>
      <c r="D41" s="334">
        <v>382428.03475316899</v>
      </c>
      <c r="E41" s="334">
        <v>88</v>
      </c>
      <c r="F41" s="334">
        <v>1261250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867976.5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112972.550561126</v>
      </c>
      <c r="E47" s="334">
        <v>4</v>
      </c>
      <c r="F47" s="334">
        <v>51476.98</v>
      </c>
    </row>
    <row r="48" spans="1:6">
      <c r="A48" s="348" t="s">
        <v>32</v>
      </c>
      <c r="B48" s="348" t="s">
        <v>29</v>
      </c>
      <c r="C48" s="334">
        <v>29</v>
      </c>
      <c r="D48" s="334">
        <v>47964295.817295</v>
      </c>
      <c r="E48" s="334">
        <v>46</v>
      </c>
      <c r="F48" s="334">
        <v>14252090</v>
      </c>
    </row>
    <row r="49" spans="1:6">
      <c r="A49" s="348" t="s">
        <v>32</v>
      </c>
      <c r="B49" s="348" t="s">
        <v>40</v>
      </c>
      <c r="C49" s="334">
        <v>0</v>
      </c>
      <c r="D49" s="334">
        <v>0</v>
      </c>
      <c r="E49" s="334">
        <v>0</v>
      </c>
      <c r="F49" s="334">
        <v>0</v>
      </c>
    </row>
    <row r="50" spans="1:6">
      <c r="A50" s="348" t="s">
        <v>32</v>
      </c>
      <c r="B50" s="348" t="s">
        <v>41</v>
      </c>
      <c r="C50" s="334">
        <v>5</v>
      </c>
      <c r="D50" s="334">
        <v>396174.85427392001</v>
      </c>
      <c r="E50" s="334">
        <v>14</v>
      </c>
      <c r="F50" s="334">
        <v>1435181</v>
      </c>
    </row>
    <row r="51" spans="1:6">
      <c r="A51" s="348" t="s">
        <v>42</v>
      </c>
      <c r="B51" s="348" t="s">
        <v>43</v>
      </c>
      <c r="C51" s="334">
        <v>6</v>
      </c>
      <c r="D51" s="334">
        <v>64056.110469459898</v>
      </c>
      <c r="E51" s="334">
        <v>130</v>
      </c>
      <c r="F51" s="334">
        <v>2898348</v>
      </c>
    </row>
    <row r="52" spans="1:6">
      <c r="A52" s="348" t="s">
        <v>42</v>
      </c>
      <c r="B52" s="348" t="s">
        <v>29</v>
      </c>
      <c r="C52" s="334">
        <v>4</v>
      </c>
      <c r="D52" s="334">
        <v>462264.53382060601</v>
      </c>
      <c r="E52" s="334">
        <v>8</v>
      </c>
      <c r="F52" s="334">
        <v>327601.7</v>
      </c>
    </row>
    <row r="53" spans="1:6">
      <c r="A53" s="348" t="s">
        <v>44</v>
      </c>
      <c r="B53" s="348" t="s">
        <v>45</v>
      </c>
      <c r="C53" s="334">
        <v>52</v>
      </c>
      <c r="D53" s="334">
        <v>1178304.6045180799</v>
      </c>
      <c r="E53" s="334">
        <v>143</v>
      </c>
      <c r="F53" s="334">
        <v>729943.1</v>
      </c>
    </row>
    <row r="54" spans="1:6">
      <c r="A54" s="348" t="s">
        <v>46</v>
      </c>
      <c r="B54" s="348" t="s">
        <v>47</v>
      </c>
      <c r="C54" s="334">
        <v>0</v>
      </c>
      <c r="D54" s="334">
        <v>0</v>
      </c>
      <c r="E54" s="334">
        <v>3</v>
      </c>
      <c r="F54" s="334">
        <v>541973.9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227564.93668979901</v>
      </c>
      <c r="E57" s="334">
        <v>22</v>
      </c>
      <c r="F57" s="334">
        <v>205360.2</v>
      </c>
    </row>
    <row r="58" spans="1:6">
      <c r="A58" s="348" t="s">
        <v>49</v>
      </c>
      <c r="B58" s="348" t="s">
        <v>51</v>
      </c>
      <c r="C58" s="334">
        <v>12</v>
      </c>
      <c r="D58" s="334">
        <v>344692.42595066899</v>
      </c>
      <c r="E58" s="334">
        <v>13</v>
      </c>
      <c r="F58" s="334">
        <v>130744.1</v>
      </c>
    </row>
    <row r="59" spans="1:6">
      <c r="A59" s="348" t="s">
        <v>49</v>
      </c>
      <c r="B59" s="348" t="s">
        <v>52</v>
      </c>
      <c r="C59" s="334">
        <v>21</v>
      </c>
      <c r="D59" s="334">
        <v>973379.09108874702</v>
      </c>
      <c r="E59" s="334">
        <v>85</v>
      </c>
      <c r="F59" s="334">
        <v>2718760</v>
      </c>
    </row>
    <row r="60" spans="1:6">
      <c r="A60" s="348" t="s">
        <v>49</v>
      </c>
      <c r="B60" s="348" t="s">
        <v>53</v>
      </c>
      <c r="C60" s="334">
        <v>36</v>
      </c>
      <c r="D60" s="334">
        <v>1537440.9278472699</v>
      </c>
      <c r="E60" s="334">
        <v>45</v>
      </c>
      <c r="F60" s="334">
        <v>761581.6</v>
      </c>
    </row>
    <row r="61" spans="1:6">
      <c r="A61" s="348" t="s">
        <v>49</v>
      </c>
      <c r="B61" s="348" t="s">
        <v>54</v>
      </c>
      <c r="C61" s="334">
        <v>49</v>
      </c>
      <c r="D61" s="334">
        <v>2293511.6535650701</v>
      </c>
      <c r="E61" s="334">
        <v>74</v>
      </c>
      <c r="F61" s="334">
        <v>933947.7</v>
      </c>
    </row>
    <row r="62" spans="1:6">
      <c r="A62" s="348" t="s">
        <v>49</v>
      </c>
      <c r="B62" s="348" t="s">
        <v>55</v>
      </c>
      <c r="C62" s="334">
        <v>0</v>
      </c>
      <c r="D62" s="334">
        <v>0</v>
      </c>
      <c r="E62" s="334">
        <v>0</v>
      </c>
      <c r="F62" s="334">
        <v>0</v>
      </c>
    </row>
    <row r="63" spans="1:6">
      <c r="A63" s="348" t="s">
        <v>49</v>
      </c>
      <c r="B63" s="348" t="s">
        <v>29</v>
      </c>
      <c r="C63" s="334">
        <v>57</v>
      </c>
      <c r="D63" s="334">
        <v>17383366.499093998</v>
      </c>
      <c r="E63" s="334">
        <v>95</v>
      </c>
      <c r="F63" s="334">
        <v>3364091</v>
      </c>
    </row>
    <row r="64" spans="1:6">
      <c r="A64" s="348" t="s">
        <v>56</v>
      </c>
      <c r="B64" s="348" t="s">
        <v>57</v>
      </c>
      <c r="C64" s="334">
        <v>0</v>
      </c>
      <c r="D64" s="334">
        <v>0</v>
      </c>
      <c r="E64" s="334">
        <v>0</v>
      </c>
      <c r="F64" s="334">
        <v>0</v>
      </c>
    </row>
    <row r="65" spans="1:6">
      <c r="A65" s="348" t="s">
        <v>56</v>
      </c>
      <c r="B65" s="348" t="s">
        <v>29</v>
      </c>
      <c r="C65" s="334">
        <v>0</v>
      </c>
      <c r="D65" s="334">
        <v>0</v>
      </c>
      <c r="E65" s="334">
        <v>4</v>
      </c>
      <c r="F65" s="334">
        <v>33133.660000000003</v>
      </c>
    </row>
    <row r="66" spans="1:6">
      <c r="A66" s="348" t="s">
        <v>56</v>
      </c>
      <c r="B66" s="348" t="s">
        <v>58</v>
      </c>
      <c r="C66" s="334">
        <v>0</v>
      </c>
      <c r="D66" s="334">
        <v>0</v>
      </c>
      <c r="E66" s="334">
        <v>5</v>
      </c>
      <c r="F66" s="334">
        <v>174914.9</v>
      </c>
    </row>
    <row r="67" spans="1:6">
      <c r="A67" s="355" t="s">
        <v>56</v>
      </c>
      <c r="B67" s="355" t="s">
        <v>59</v>
      </c>
      <c r="C67" s="334">
        <v>0</v>
      </c>
      <c r="D67" s="334">
        <v>0</v>
      </c>
      <c r="E67" s="334">
        <v>0</v>
      </c>
      <c r="F67" s="334">
        <v>0</v>
      </c>
    </row>
    <row r="68" spans="1:6">
      <c r="A68" s="341" t="s">
        <v>56</v>
      </c>
      <c r="B68" s="341" t="s">
        <v>60</v>
      </c>
      <c r="C68" s="334">
        <v>5</v>
      </c>
      <c r="D68" s="334">
        <v>77257.138357537799</v>
      </c>
      <c r="E68" s="334">
        <v>10</v>
      </c>
      <c r="F68" s="334">
        <v>60050.879999999997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40418346</v>
      </c>
      <c r="E73" s="477">
        <v>41282370.767543651</v>
      </c>
    </row>
    <row r="74" spans="1:6">
      <c r="A74" s="348" t="s">
        <v>64</v>
      </c>
      <c r="B74" s="348" t="s">
        <v>714</v>
      </c>
      <c r="C74" s="1229" t="s">
        <v>716</v>
      </c>
      <c r="D74" s="477">
        <v>5503952.2477322333</v>
      </c>
      <c r="E74" s="477">
        <v>5438336.9307488296</v>
      </c>
    </row>
    <row r="75" spans="1:6">
      <c r="A75" s="348" t="s">
        <v>65</v>
      </c>
      <c r="B75" s="348" t="s">
        <v>713</v>
      </c>
      <c r="C75" s="1229" t="s">
        <v>717</v>
      </c>
      <c r="D75" s="477">
        <v>7563131</v>
      </c>
      <c r="E75" s="477">
        <v>8257807.2727044746</v>
      </c>
    </row>
    <row r="76" spans="1:6">
      <c r="A76" s="348" t="s">
        <v>65</v>
      </c>
      <c r="B76" s="348" t="s">
        <v>714</v>
      </c>
      <c r="C76" s="1229" t="s">
        <v>718</v>
      </c>
      <c r="D76" s="477">
        <v>514840.2477322332</v>
      </c>
      <c r="E76" s="477">
        <v>510562.71632420161</v>
      </c>
    </row>
    <row r="77" spans="1:6">
      <c r="A77" s="348" t="s">
        <v>66</v>
      </c>
      <c r="B77" s="348" t="s">
        <v>713</v>
      </c>
      <c r="C77" s="1229" t="s">
        <v>719</v>
      </c>
      <c r="D77" s="477">
        <v>92843399</v>
      </c>
      <c r="E77" s="477">
        <v>110660164.43636622</v>
      </c>
    </row>
    <row r="78" spans="1:6">
      <c r="A78" s="341" t="s">
        <v>66</v>
      </c>
      <c r="B78" s="341" t="s">
        <v>714</v>
      </c>
      <c r="C78" s="341" t="s">
        <v>720</v>
      </c>
      <c r="D78" s="1225">
        <v>14328577</v>
      </c>
      <c r="E78" s="1225">
        <v>14802569.069824001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92793.504535533648</v>
      </c>
      <c r="C83" s="477">
        <v>93585.634010462221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2170.1412892021149</v>
      </c>
    </row>
    <row r="92" spans="1:6">
      <c r="A92" s="341" t="s">
        <v>69</v>
      </c>
      <c r="B92" s="342">
        <v>1036.759135724629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1338</v>
      </c>
    </row>
    <row r="98" spans="1:6">
      <c r="A98" s="348" t="s">
        <v>72</v>
      </c>
      <c r="B98" s="334">
        <v>0</v>
      </c>
    </row>
    <row r="99" spans="1:6">
      <c r="A99" s="348" t="s">
        <v>73</v>
      </c>
      <c r="B99" s="334">
        <v>141</v>
      </c>
    </row>
    <row r="100" spans="1:6">
      <c r="A100" s="348" t="s">
        <v>74</v>
      </c>
      <c r="B100" s="334">
        <v>389</v>
      </c>
    </row>
    <row r="101" spans="1:6">
      <c r="A101" s="348" t="s">
        <v>75</v>
      </c>
      <c r="B101" s="334">
        <v>101</v>
      </c>
    </row>
    <row r="102" spans="1:6">
      <c r="A102" s="348" t="s">
        <v>76</v>
      </c>
      <c r="B102" s="334">
        <v>50</v>
      </c>
    </row>
    <row r="103" spans="1:6">
      <c r="A103" s="348" t="s">
        <v>77</v>
      </c>
      <c r="B103" s="334">
        <v>134</v>
      </c>
    </row>
    <row r="104" spans="1:6">
      <c r="A104" s="348" t="s">
        <v>78</v>
      </c>
      <c r="B104" s="334">
        <v>1014</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0</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47059.609514315736</v>
      </c>
      <c r="C3" s="43" t="s">
        <v>170</v>
      </c>
      <c r="D3" s="43"/>
      <c r="E3" s="154"/>
      <c r="F3" s="43"/>
      <c r="G3" s="43"/>
      <c r="H3" s="43"/>
      <c r="I3" s="43"/>
      <c r="J3" s="43"/>
      <c r="K3" s="96"/>
    </row>
    <row r="4" spans="1:11">
      <c r="A4" s="384" t="s">
        <v>171</v>
      </c>
      <c r="B4" s="49">
        <f>IF(ISERROR('SEAP template'!B69),0,'SEAP template'!B69)</f>
        <v>8606.9004249267437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1283.294117647059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0.20785006351203358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1833.2773109243701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7714.2857142857147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541.97390000000007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541.97390000000007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0.20785006351203358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112.64930953686455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15119.785</v>
      </c>
      <c r="C5" s="17">
        <f>IF(ISERROR('Eigen informatie GS &amp; warmtenet'!B57),0,'Eigen informatie GS &amp; warmtenet'!B57)</f>
        <v>0</v>
      </c>
      <c r="D5" s="30">
        <f>(SUM(HH_hh_gas_kWh,HH_rest_gas_kWh)/1000)*0.902</f>
        <v>26413.678273948815</v>
      </c>
      <c r="E5" s="17">
        <f>B46*B57</f>
        <v>3450.7488187096415</v>
      </c>
      <c r="F5" s="17">
        <f>B51*B62</f>
        <v>9430.5757675231434</v>
      </c>
      <c r="G5" s="18"/>
      <c r="H5" s="17"/>
      <c r="I5" s="17"/>
      <c r="J5" s="17">
        <f>B50*B61+C50*C61</f>
        <v>2247.6328977735011</v>
      </c>
      <c r="K5" s="17"/>
      <c r="L5" s="17"/>
      <c r="M5" s="17"/>
      <c r="N5" s="17">
        <f>B48*B59+C48*C59</f>
        <v>9373.7592611171676</v>
      </c>
      <c r="O5" s="17">
        <f>B69*B70*B71</f>
        <v>240.75333333333336</v>
      </c>
      <c r="P5" s="17">
        <f>B77*B78*B79/1000-B77*B78*B79/1000/B80</f>
        <v>171.6</v>
      </c>
    </row>
    <row r="6" spans="1:16">
      <c r="A6" s="16" t="s">
        <v>631</v>
      </c>
      <c r="B6" s="844">
        <f>kWh_PV_kleiner_dan_10kW</f>
        <v>2170.1412892021149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17289.926289202114</v>
      </c>
      <c r="C8" s="21">
        <f>C5</f>
        <v>0</v>
      </c>
      <c r="D8" s="21">
        <f>D5</f>
        <v>26413.678273948815</v>
      </c>
      <c r="E8" s="21">
        <f>E5</f>
        <v>3450.7488187096415</v>
      </c>
      <c r="F8" s="21">
        <f>F5</f>
        <v>9430.5757675231434</v>
      </c>
      <c r="G8" s="21"/>
      <c r="H8" s="21"/>
      <c r="I8" s="21"/>
      <c r="J8" s="21">
        <f>J5</f>
        <v>2247.6328977735011</v>
      </c>
      <c r="K8" s="21"/>
      <c r="L8" s="21">
        <f>L5</f>
        <v>0</v>
      </c>
      <c r="M8" s="21">
        <f>M5</f>
        <v>0</v>
      </c>
      <c r="N8" s="21">
        <f>N5</f>
        <v>9373.7592611171676</v>
      </c>
      <c r="O8" s="21">
        <f>O5</f>
        <v>240.75333333333336</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0.20785006351203358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3593.7122773290384</v>
      </c>
      <c r="C12" s="23">
        <f ca="1">C10*C8</f>
        <v>0</v>
      </c>
      <c r="D12" s="23">
        <f>D8*D10</f>
        <v>5335.563011337661</v>
      </c>
      <c r="E12" s="23">
        <f>E10*E8</f>
        <v>783.31998184708868</v>
      </c>
      <c r="F12" s="23">
        <f>F10*F8</f>
        <v>2517.9637299286796</v>
      </c>
      <c r="G12" s="23"/>
      <c r="H12" s="23"/>
      <c r="I12" s="23"/>
      <c r="J12" s="23">
        <f>J10*J8</f>
        <v>795.66204581181933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1338</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22.345483359746435</v>
      </c>
      <c r="D20" s="229"/>
      <c r="E20" s="15"/>
    </row>
    <row r="21" spans="1:7">
      <c r="A21" s="171" t="s">
        <v>74</v>
      </c>
      <c r="B21" s="37">
        <f>aantalw2001_elektriciteit</f>
        <v>389</v>
      </c>
      <c r="C21" s="167">
        <f>IF(ISERROR(B21/SUM($B$20,$B$21,$B$22)*100),0,B21/SUM($B$20,$B$21,$B$22)*100)</f>
        <v>61.648177496038038</v>
      </c>
      <c r="D21" s="229"/>
      <c r="E21" s="15"/>
    </row>
    <row r="22" spans="1:7">
      <c r="A22" s="171" t="s">
        <v>75</v>
      </c>
      <c r="B22" s="37">
        <f>aantalw2001_hout</f>
        <v>101</v>
      </c>
      <c r="C22" s="167">
        <f>IF(ISERROR(B22/SUM($B$20,$B$21,$B$22)*100),0,B22/SUM($B$20,$B$21,$B$22)*100)</f>
        <v>16.006339144215531</v>
      </c>
      <c r="D22" s="229"/>
      <c r="E22" s="15"/>
    </row>
    <row r="23" spans="1:7">
      <c r="A23" s="171" t="s">
        <v>76</v>
      </c>
      <c r="B23" s="37">
        <f>aantalw2001_niet_gespec</f>
        <v>50</v>
      </c>
      <c r="C23" s="166" t="s">
        <v>111</v>
      </c>
      <c r="D23" s="228"/>
      <c r="E23" s="15"/>
    </row>
    <row r="24" spans="1:7">
      <c r="A24" s="171" t="s">
        <v>77</v>
      </c>
      <c r="B24" s="37">
        <f>aantalw2001_steenkool</f>
        <v>134</v>
      </c>
      <c r="C24" s="166" t="s">
        <v>111</v>
      </c>
      <c r="D24" s="229"/>
      <c r="E24" s="15"/>
    </row>
    <row r="25" spans="1:7">
      <c r="A25" s="171" t="s">
        <v>78</v>
      </c>
      <c r="B25" s="37">
        <f>aantalw2001_stookolie</f>
        <v>1014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3530</v>
      </c>
      <c r="C28" s="36"/>
      <c r="D28" s="228"/>
    </row>
    <row r="29" spans="1:7" s="15" customFormat="1">
      <c r="A29" s="230" t="s">
        <v>741</v>
      </c>
      <c r="B29" s="37">
        <f>SUM(HH_hh_gas_aantal,HH_rest_gas_aantal)</f>
        <v>2039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2039</v>
      </c>
      <c r="C32" s="167">
        <f>IF(ISERROR(B32/SUM($B$32,$B$34,$B$35,$B$36,$B$38,$B$39)*100),0,B32/SUM($B$32,$B$34,$B$35,$B$36,$B$38,$B$39)*100)</f>
        <v>57.909684748650946</v>
      </c>
      <c r="D32" s="233"/>
      <c r="G32" s="15"/>
    </row>
    <row r="33" spans="1:7">
      <c r="A33" s="171" t="s">
        <v>72</v>
      </c>
      <c r="B33" s="34" t="s">
        <v>111</v>
      </c>
      <c r="C33" s="167"/>
      <c r="D33" s="233"/>
      <c r="G33" s="15"/>
    </row>
    <row r="34" spans="1:7">
      <c r="A34" s="171" t="s">
        <v>73</v>
      </c>
      <c r="B34" s="33">
        <f>IF((($B$28-$B$32-$B$39-$B$77-$B$38)*C20/100)&lt;0,0,($B$28-$B$32-$B$39-$B$77-$B$38)*C20/100)</f>
        <v>231.27575277337561</v>
      </c>
      <c r="C34" s="167">
        <f>IF(ISERROR(B34/SUM($B$32,$B$34,$B$35,$B$36,$B$38,$B$39)*100),0,B34/SUM($B$32,$B$34,$B$35,$B$36,$B$38,$B$39)*100)</f>
        <v>6.5684678436062374</v>
      </c>
      <c r="D34" s="233"/>
      <c r="G34" s="15"/>
    </row>
    <row r="35" spans="1:7">
      <c r="A35" s="171" t="s">
        <v>74</v>
      </c>
      <c r="B35" s="33">
        <f>IF((($B$28-$B$32-$B$39-$B$77-$B$38)*C21/100)&lt;0,0,($B$28-$B$32-$B$39-$B$77-$B$38)*C21/100)</f>
        <v>638.05863708399363</v>
      </c>
      <c r="C35" s="167">
        <f>IF(ISERROR(B35/SUM($B$32,$B$34,$B$35,$B$36,$B$38,$B$39)*100),0,B35/SUM($B$32,$B$34,$B$35,$B$36,$B$38,$B$39)*100)</f>
        <v>18.121517667821461</v>
      </c>
      <c r="D35" s="233"/>
      <c r="G35" s="15"/>
    </row>
    <row r="36" spans="1:7">
      <c r="A36" s="171" t="s">
        <v>75</v>
      </c>
      <c r="B36" s="33">
        <f>IF((($B$28-$B$32-$B$39-$B$77-$B$38)*C22/100)&lt;0,0,($B$28-$B$32-$B$39-$B$77-$B$38)*C22/100)</f>
        <v>165.66561014263075</v>
      </c>
      <c r="C36" s="167">
        <f>IF(ISERROR(B36/SUM($B$32,$B$34,$B$35,$B$36,$B$38,$B$39)*100),0,B36/SUM($B$32,$B$34,$B$35,$B$36,$B$38,$B$39)*100)</f>
        <v>4.7050727106682979</v>
      </c>
      <c r="D36" s="233"/>
      <c r="G36" s="15"/>
    </row>
    <row r="37" spans="1:7">
      <c r="A37" s="171" t="s">
        <v>76</v>
      </c>
      <c r="B37" s="34" t="s">
        <v>111</v>
      </c>
      <c r="C37" s="167"/>
      <c r="D37" s="173"/>
      <c r="G37" s="15"/>
    </row>
    <row r="38" spans="1:7">
      <c r="A38" s="171" t="s">
        <v>77</v>
      </c>
      <c r="B38" s="33">
        <f>IF((B24-(B29-B18)*0.1)&lt;0,0,B24-(B29-B18)*0.1)</f>
        <v>63.899999999999991</v>
      </c>
      <c r="C38" s="167">
        <f>IF(ISERROR(B38/SUM($B$32,$B$34,$B$35,$B$36,$B$38,$B$39)*100),0,B38/SUM($B$32,$B$34,$B$35,$B$36,$B$38,$B$39)*100)</f>
        <v>1.8148253337120133</v>
      </c>
      <c r="D38" s="234"/>
      <c r="G38" s="15"/>
    </row>
    <row r="39" spans="1:7">
      <c r="A39" s="171" t="s">
        <v>78</v>
      </c>
      <c r="B39" s="33">
        <f>IF((B25-(B29-B18))&lt;0,0,B25-(B29-B18)*0.9)</f>
        <v>383.1</v>
      </c>
      <c r="C39" s="167">
        <f>IF(ISERROR(B39/SUM($B$32,$B$34,$B$35,$B$36,$B$38,$B$39)*100),0,B39/SUM($B$32,$B$34,$B$35,$B$36,$B$38,$B$39)*100)</f>
        <v>10.88043169554104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2039</v>
      </c>
      <c r="C44" s="34" t="s">
        <v>111</v>
      </c>
      <c r="D44" s="174"/>
    </row>
    <row r="45" spans="1:7">
      <c r="A45" s="171" t="s">
        <v>72</v>
      </c>
      <c r="B45" s="33" t="str">
        <f t="shared" si="0"/>
        <v>-</v>
      </c>
      <c r="C45" s="34" t="s">
        <v>111</v>
      </c>
      <c r="D45" s="174"/>
    </row>
    <row r="46" spans="1:7">
      <c r="A46" s="171" t="s">
        <v>73</v>
      </c>
      <c r="B46" s="33">
        <f t="shared" si="0"/>
        <v>231.27575277337561</v>
      </c>
      <c r="C46" s="34" t="s">
        <v>111</v>
      </c>
      <c r="D46" s="174"/>
    </row>
    <row r="47" spans="1:7">
      <c r="A47" s="171" t="s">
        <v>74</v>
      </c>
      <c r="B47" s="33">
        <f t="shared" si="0"/>
        <v>638.05863708399363</v>
      </c>
      <c r="C47" s="34" t="s">
        <v>111</v>
      </c>
      <c r="D47" s="174"/>
    </row>
    <row r="48" spans="1:7">
      <c r="A48" s="171" t="s">
        <v>75</v>
      </c>
      <c r="B48" s="33">
        <f t="shared" si="0"/>
        <v>165.66561014263075</v>
      </c>
      <c r="C48" s="33">
        <f>B48*10</f>
        <v>1656.6561014263075</v>
      </c>
      <c r="D48" s="234"/>
    </row>
    <row r="49" spans="1:6">
      <c r="A49" s="171" t="s">
        <v>76</v>
      </c>
      <c r="B49" s="33" t="str">
        <f t="shared" si="0"/>
        <v>-</v>
      </c>
      <c r="C49" s="34" t="s">
        <v>111</v>
      </c>
      <c r="D49" s="234"/>
    </row>
    <row r="50" spans="1:6">
      <c r="A50" s="171" t="s">
        <v>77</v>
      </c>
      <c r="B50" s="33">
        <f t="shared" si="0"/>
        <v>63.899999999999991</v>
      </c>
      <c r="C50" s="33">
        <f>B50*2</f>
        <v>127.79999999999998</v>
      </c>
      <c r="D50" s="234"/>
    </row>
    <row r="51" spans="1:6">
      <c r="A51" s="171" t="s">
        <v>78</v>
      </c>
      <c r="B51" s="33">
        <f t="shared" si="0"/>
        <v>383.1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8114.4845999999998</v>
      </c>
      <c r="C5" s="17">
        <f>IF(ISERROR('Eigen informatie GS &amp; warmtenet'!B58),0,'Eigen informatie GS &amp; warmtenet'!B58)</f>
        <v>0</v>
      </c>
      <c r="D5" s="30">
        <f>SUM(D6:D12)</f>
        <v>20529.479891880466</v>
      </c>
      <c r="E5" s="17">
        <f>SUM(E6:E12)</f>
        <v>95.099709867113489</v>
      </c>
      <c r="F5" s="17">
        <f>SUM(F6:F12)</f>
        <v>1178.9667096744431</v>
      </c>
      <c r="G5" s="18"/>
      <c r="H5" s="17"/>
      <c r="I5" s="17"/>
      <c r="J5" s="17">
        <f>SUM(J6:J12)</f>
        <v>0</v>
      </c>
      <c r="K5" s="17"/>
      <c r="L5" s="17"/>
      <c r="M5" s="17"/>
      <c r="N5" s="17">
        <f>SUM(N6:N12)</f>
        <v>464.22403592133611</v>
      </c>
      <c r="O5" s="17">
        <f>B38*B39*B40</f>
        <v>0</v>
      </c>
      <c r="P5" s="17">
        <f>B46*B47*B48/1000-B46*B47*B48/1000/B49</f>
        <v>19.066666666666666</v>
      </c>
      <c r="R5" s="32"/>
    </row>
    <row r="6" spans="1:18">
      <c r="A6" s="32" t="s">
        <v>54</v>
      </c>
      <c r="B6" s="37">
        <f>B26</f>
        <v>933.94769999999994</v>
      </c>
      <c r="C6" s="33"/>
      <c r="D6" s="37">
        <f>IF(ISERROR(TER_kantoor_gas_kWh/1000),0,TER_kantoor_gas_kWh/1000)*0.902</f>
        <v>2068.7475115156931</v>
      </c>
      <c r="E6" s="33">
        <f>$C$26*'E Balans VL '!I12/100/3.6*1000000</f>
        <v>2.7057835164573669</v>
      </c>
      <c r="F6" s="33">
        <f>$C$26*('E Balans VL '!L12+'E Balans VL '!N12)/100/3.6*1000000</f>
        <v>105.70230317682756</v>
      </c>
      <c r="G6" s="34"/>
      <c r="H6" s="33"/>
      <c r="I6" s="33"/>
      <c r="J6" s="33">
        <f>$C$26*('E Balans VL '!D12+'E Balans VL '!E12)/100/3.6*1000000</f>
        <v>0</v>
      </c>
      <c r="K6" s="33"/>
      <c r="L6" s="33"/>
      <c r="M6" s="33"/>
      <c r="N6" s="33">
        <f>$C$26*'E Balans VL '!Y12/100/3.6*1000000</f>
        <v>9.3481283136089939</v>
      </c>
      <c r="O6" s="33"/>
      <c r="P6" s="33"/>
      <c r="R6" s="32"/>
    </row>
    <row r="7" spans="1:18">
      <c r="A7" s="32" t="s">
        <v>53</v>
      </c>
      <c r="B7" s="37">
        <f t="shared" ref="B7:B12" si="0">B27</f>
        <v>761.58159999999998</v>
      </c>
      <c r="C7" s="33"/>
      <c r="D7" s="37">
        <f>IF(ISERROR(TER_horeca_gas_kWh/1000),0,TER_horeca_gas_kWh/1000)*0.902</f>
        <v>1386.7717169182374</v>
      </c>
      <c r="E7" s="33">
        <f>$C$27*'E Balans VL '!I9/100/3.6*1000000</f>
        <v>31.969067751063417</v>
      </c>
      <c r="F7" s="33">
        <f>$C$27*('E Balans VL '!L9+'E Balans VL '!N9)/100/3.6*1000000</f>
        <v>163.64142446162916</v>
      </c>
      <c r="G7" s="34"/>
      <c r="H7" s="33"/>
      <c r="I7" s="33"/>
      <c r="J7" s="33">
        <f>$C$27*('E Balans VL '!D9+'E Balans VL '!E9)/100/3.6*1000000</f>
        <v>0</v>
      </c>
      <c r="K7" s="33"/>
      <c r="L7" s="33"/>
      <c r="M7" s="33"/>
      <c r="N7" s="33">
        <f>$C$27*'E Balans VL '!Y9/100/3.6*1000000</f>
        <v>0.19625291804729122</v>
      </c>
      <c r="O7" s="33"/>
      <c r="P7" s="33"/>
      <c r="R7" s="32"/>
    </row>
    <row r="8" spans="1:18">
      <c r="A8" s="6" t="s">
        <v>52</v>
      </c>
      <c r="B8" s="37">
        <f t="shared" si="0"/>
        <v>2718.76</v>
      </c>
      <c r="C8" s="33"/>
      <c r="D8" s="37">
        <f>IF(ISERROR(TER_handel_gas_kWh/1000),0,TER_handel_gas_kWh/1000)*0.902</f>
        <v>877.98794016204988</v>
      </c>
      <c r="E8" s="33">
        <f>$C$28*'E Balans VL '!I13/100/3.6*1000000</f>
        <v>29.20174515962546</v>
      </c>
      <c r="F8" s="33">
        <f>$C$28*('E Balans VL '!L13+'E Balans VL '!N13)/100/3.6*1000000</f>
        <v>351.96593305725622</v>
      </c>
      <c r="G8" s="34"/>
      <c r="H8" s="33"/>
      <c r="I8" s="33"/>
      <c r="J8" s="33">
        <f>$C$28*('E Balans VL '!D13+'E Balans VL '!E13)/100/3.6*1000000</f>
        <v>0</v>
      </c>
      <c r="K8" s="33"/>
      <c r="L8" s="33"/>
      <c r="M8" s="33"/>
      <c r="N8" s="33">
        <f>$C$28*'E Balans VL '!Y13/100/3.6*1000000</f>
        <v>22.054729570750574</v>
      </c>
      <c r="O8" s="33"/>
      <c r="P8" s="33"/>
      <c r="R8" s="32"/>
    </row>
    <row r="9" spans="1:18">
      <c r="A9" s="32" t="s">
        <v>51</v>
      </c>
      <c r="B9" s="37">
        <f t="shared" si="0"/>
        <v>130.7441</v>
      </c>
      <c r="C9" s="33"/>
      <c r="D9" s="37">
        <f>IF(ISERROR(TER_gezond_gas_kWh/1000),0,TER_gezond_gas_kWh/1000)*0.902</f>
        <v>310.9125682075034</v>
      </c>
      <c r="E9" s="33">
        <f>$C$29*'E Balans VL '!I10/100/3.6*1000000</f>
        <v>0.10408075990183696</v>
      </c>
      <c r="F9" s="33">
        <f>$C$29*('E Balans VL '!L10+'E Balans VL '!N10)/100/3.6*1000000</f>
        <v>15.893834777426044</v>
      </c>
      <c r="G9" s="34"/>
      <c r="H9" s="33"/>
      <c r="I9" s="33"/>
      <c r="J9" s="33">
        <f>$C$29*('E Balans VL '!D10+'E Balans VL '!E10)/100/3.6*1000000</f>
        <v>0</v>
      </c>
      <c r="K9" s="33"/>
      <c r="L9" s="33"/>
      <c r="M9" s="33"/>
      <c r="N9" s="33">
        <f>$C$29*'E Balans VL '!Y10/100/3.6*1000000</f>
        <v>1.0561162014265744</v>
      </c>
      <c r="O9" s="33"/>
      <c r="P9" s="33"/>
      <c r="R9" s="32"/>
    </row>
    <row r="10" spans="1:18">
      <c r="A10" s="32" t="s">
        <v>50</v>
      </c>
      <c r="B10" s="37">
        <f t="shared" si="0"/>
        <v>205.36020000000002</v>
      </c>
      <c r="C10" s="33"/>
      <c r="D10" s="37">
        <f>IF(ISERROR(TER_ander_gas_kWh/1000),0,TER_ander_gas_kWh/1000)*0.902</f>
        <v>205.26357289419869</v>
      </c>
      <c r="E10" s="33">
        <f>$C$30*'E Balans VL '!I14/100/3.6*1000000</f>
        <v>0.70378019364200695</v>
      </c>
      <c r="F10" s="33">
        <f>$C$30*('E Balans VL '!L14+'E Balans VL '!N14)/100/3.6*1000000</f>
        <v>45.86912382446679</v>
      </c>
      <c r="G10" s="34"/>
      <c r="H10" s="33"/>
      <c r="I10" s="33"/>
      <c r="J10" s="33">
        <f>$C$30*('E Balans VL '!D14+'E Balans VL '!E14)/100/3.6*1000000</f>
        <v>0</v>
      </c>
      <c r="K10" s="33"/>
      <c r="L10" s="33"/>
      <c r="M10" s="33"/>
      <c r="N10" s="33">
        <f>$C$30*'E Balans VL '!Y14/100/3.6*1000000</f>
        <v>144.65684674084326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3364.0909999999999</v>
      </c>
      <c r="C12" s="33"/>
      <c r="D12" s="37">
        <f>IF(ISERROR(TER_rest_gas_kWh/1000),0,TER_rest_gas_kWh/1000)*0.902</f>
        <v>15679.796582182786</v>
      </c>
      <c r="E12" s="33">
        <f>$C$32*'E Balans VL '!I8/100/3.6*1000000</f>
        <v>30.415252486423398</v>
      </c>
      <c r="F12" s="33">
        <f>$C$32*('E Balans VL '!L8+'E Balans VL '!N8)/100/3.6*1000000</f>
        <v>495.89409037683748</v>
      </c>
      <c r="G12" s="34"/>
      <c r="H12" s="33"/>
      <c r="I12" s="33"/>
      <c r="J12" s="33">
        <f>$C$32*('E Balans VL '!D8+'E Balans VL '!E8)/100/3.6*1000000</f>
        <v>0</v>
      </c>
      <c r="K12" s="33"/>
      <c r="L12" s="33"/>
      <c r="M12" s="33"/>
      <c r="N12" s="33">
        <f>$C$32*'E Balans VL '!Y8/100/3.6*1000000</f>
        <v>286.91196217665942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8114.4845999999998</v>
      </c>
      <c r="C16" s="21">
        <f t="shared" ca="1" si="1"/>
        <v>0</v>
      </c>
      <c r="D16" s="21">
        <f t="shared" ca="1" si="1"/>
        <v>20529.479891880466</v>
      </c>
      <c r="E16" s="21">
        <f t="shared" si="1"/>
        <v>95.099709867113489</v>
      </c>
      <c r="F16" s="21">
        <f t="shared" ca="1" si="1"/>
        <v>1178.9667096744431</v>
      </c>
      <c r="G16" s="21">
        <f t="shared" si="1"/>
        <v>0</v>
      </c>
      <c r="H16" s="21">
        <f t="shared" si="1"/>
        <v>0</v>
      </c>
      <c r="I16" s="21">
        <f t="shared" si="1"/>
        <v>0</v>
      </c>
      <c r="J16" s="21">
        <f t="shared" si="1"/>
        <v>0</v>
      </c>
      <c r="K16" s="21">
        <f t="shared" si="1"/>
        <v>0</v>
      </c>
      <c r="L16" s="21">
        <f t="shared" ca="1" si="1"/>
        <v>0</v>
      </c>
      <c r="M16" s="21">
        <f t="shared" si="1"/>
        <v>0</v>
      </c>
      <c r="N16" s="21">
        <f t="shared" ca="1" si="1"/>
        <v>464.22403592133611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0.20785006351203358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1686.5961394774183</v>
      </c>
      <c r="C20" s="23">
        <f t="shared" ref="C20:P20" ca="1" si="2">C16*C18</f>
        <v>0</v>
      </c>
      <c r="D20" s="23">
        <f t="shared" ca="1" si="2"/>
        <v>4146.9549381598545</v>
      </c>
      <c r="E20" s="23">
        <f t="shared" si="2"/>
        <v>21.587634139834762</v>
      </c>
      <c r="F20" s="23">
        <f t="shared" ca="1" si="2"/>
        <v>314.78411148307634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933.94769999999994</v>
      </c>
      <c r="C26" s="39">
        <f>IF(ISERROR(B26*3.6/1000000/'E Balans VL '!Z12*100),0,B26*3.6/1000000/'E Balans VL '!Z12*100)</f>
        <v>2.0515240982164555E-2</v>
      </c>
      <c r="D26" s="237" t="s">
        <v>692</v>
      </c>
      <c r="F26" s="6"/>
    </row>
    <row r="27" spans="1:18">
      <c r="A27" s="231" t="s">
        <v>53</v>
      </c>
      <c r="B27" s="33">
        <f>IF(ISERROR(TER_horeca_ele_kWh/1000),0,TER_horeca_ele_kWh/1000)</f>
        <v>761.58159999999998</v>
      </c>
      <c r="C27" s="39">
        <f>IF(ISERROR(B27*3.6/1000000/'E Balans VL '!Z9*100),0,B27*3.6/1000000/'E Balans VL '!Z9*100)</f>
        <v>6.1200673095053025E-2</v>
      </c>
      <c r="D27" s="237" t="s">
        <v>692</v>
      </c>
      <c r="F27" s="6"/>
    </row>
    <row r="28" spans="1:18">
      <c r="A28" s="171" t="s">
        <v>52</v>
      </c>
      <c r="B28" s="33">
        <f>IF(ISERROR(TER_handel_ele_kWh/1000),0,TER_handel_ele_kWh/1000)</f>
        <v>2718.76</v>
      </c>
      <c r="C28" s="39">
        <f>IF(ISERROR(B28*3.6/1000000/'E Balans VL '!Z13*100),0,B28*3.6/1000000/'E Balans VL '!Z13*100)</f>
        <v>8.039183383438385E-2</v>
      </c>
      <c r="D28" s="237" t="s">
        <v>692</v>
      </c>
      <c r="F28" s="6"/>
    </row>
    <row r="29" spans="1:18">
      <c r="A29" s="231" t="s">
        <v>51</v>
      </c>
      <c r="B29" s="33">
        <f>IF(ISERROR(TER_gezond_ele_kWh/1000),0,TER_gezond_ele_kWh/1000)</f>
        <v>130.7441</v>
      </c>
      <c r="C29" s="39">
        <f>IF(ISERROR(B29*3.6/1000000/'E Balans VL '!Z10*100),0,B29*3.6/1000000/'E Balans VL '!Z10*100)</f>
        <v>1.4731484554890409E-2</v>
      </c>
      <c r="D29" s="237" t="s">
        <v>692</v>
      </c>
      <c r="F29" s="6"/>
    </row>
    <row r="30" spans="1:18">
      <c r="A30" s="231" t="s">
        <v>50</v>
      </c>
      <c r="B30" s="33">
        <f>IF(ISERROR(TER_ander_ele_kWh/1000),0,TER_ander_ele_kWh/1000)</f>
        <v>205.36020000000002</v>
      </c>
      <c r="C30" s="39">
        <f>IF(ISERROR(B30*3.6/1000000/'E Balans VL '!Z14*100),0,B30*3.6/1000000/'E Balans VL '!Z14*100)</f>
        <v>1.5531040878594934E-2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3364.0909999999999</v>
      </c>
      <c r="C32" s="39">
        <f>IF(ISERROR(B32*3.6/1000000/'E Balans VL '!Z8*100),0,B32*3.6/1000000/'E Balans VL '!Z8*100)</f>
        <v>2.8340487647283769E-2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17867.974480000001</v>
      </c>
      <c r="C5" s="17">
        <f>IF(ISERROR('Eigen informatie GS &amp; warmtenet'!B59),0,'Eigen informatie GS &amp; warmtenet'!B59)</f>
        <v>0</v>
      </c>
      <c r="D5" s="30">
        <f>SUM(D6:D15)</f>
        <v>44067.995873708664</v>
      </c>
      <c r="E5" s="17">
        <f>SUM(E6:E15)</f>
        <v>1108.300072920747</v>
      </c>
      <c r="F5" s="17">
        <f>SUM(F6:F15)</f>
        <v>7226.7689922750342</v>
      </c>
      <c r="G5" s="18"/>
      <c r="H5" s="17"/>
      <c r="I5" s="17"/>
      <c r="J5" s="17">
        <f>SUM(J6:J15)</f>
        <v>94.140803146193463</v>
      </c>
      <c r="K5" s="17"/>
      <c r="L5" s="17"/>
      <c r="M5" s="17"/>
      <c r="N5" s="17">
        <f>SUM(N6:N15)</f>
        <v>3886.0854540359869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867.97649999999999</v>
      </c>
      <c r="C8" s="33"/>
      <c r="D8" s="37">
        <f>IF( ISERROR(IND_metaal_Gas_kWH/1000),0,IND_metaal_Gas_kWH/1000)*0.902</f>
        <v>0</v>
      </c>
      <c r="E8" s="33">
        <f>C30*'E Balans VL '!I18/100/3.6*1000000</f>
        <v>21.722413942331745</v>
      </c>
      <c r="F8" s="33">
        <f>C30*'E Balans VL '!L18/100/3.6*1000000+C30*'E Balans VL '!N18/100/3.6*1000000</f>
        <v>272.02815263715314</v>
      </c>
      <c r="G8" s="34"/>
      <c r="H8" s="33"/>
      <c r="I8" s="33"/>
      <c r="J8" s="40">
        <f>C30*'E Balans VL '!D18/100/3.6*1000000+C30*'E Balans VL '!E18/100/3.6*1000000</f>
        <v>0</v>
      </c>
      <c r="K8" s="33"/>
      <c r="L8" s="33"/>
      <c r="M8" s="33"/>
      <c r="N8" s="33">
        <f>C30*'E Balans VL '!Y18/100/3.6*1000000</f>
        <v>21.805822275445337</v>
      </c>
      <c r="O8" s="33"/>
      <c r="P8" s="33"/>
      <c r="R8" s="32"/>
    </row>
    <row r="9" spans="1:18">
      <c r="A9" s="6" t="s">
        <v>33</v>
      </c>
      <c r="B9" s="37">
        <f t="shared" si="0"/>
        <v>1261.25</v>
      </c>
      <c r="C9" s="33"/>
      <c r="D9" s="37">
        <f>IF( ISERROR(IND_andere_gas_kWh/1000),0,IND_andere_gas_kWh/1000)*0.902</f>
        <v>344.95008734735848</v>
      </c>
      <c r="E9" s="33">
        <f>C31*'E Balans VL '!I19/100/3.6*1000000</f>
        <v>346.79201976113183</v>
      </c>
      <c r="F9" s="33">
        <f>C31*'E Balans VL '!L19/100/3.6*1000000+C31*'E Balans VL '!N19/100/3.6*1000000</f>
        <v>994.08447325773204</v>
      </c>
      <c r="G9" s="34"/>
      <c r="H9" s="33"/>
      <c r="I9" s="33"/>
      <c r="J9" s="40">
        <f>C31*'E Balans VL '!D19/100/3.6*1000000+C31*'E Balans VL '!E19/100/3.6*1000000</f>
        <v>0</v>
      </c>
      <c r="K9" s="33"/>
      <c r="L9" s="33"/>
      <c r="M9" s="33"/>
      <c r="N9" s="33">
        <f>C31*'E Balans VL '!Y19/100/3.6*1000000</f>
        <v>408.29991642904065</v>
      </c>
      <c r="O9" s="33"/>
      <c r="P9" s="33"/>
      <c r="R9" s="32"/>
    </row>
    <row r="10" spans="1:18">
      <c r="A10" s="6" t="s">
        <v>41</v>
      </c>
      <c r="B10" s="37">
        <f t="shared" si="0"/>
        <v>1435.181</v>
      </c>
      <c r="C10" s="33"/>
      <c r="D10" s="37">
        <f>IF( ISERROR(IND_voed_gas_kWh/1000),0,IND_voed_gas_kWh/1000)*0.902</f>
        <v>357.34971855507587</v>
      </c>
      <c r="E10" s="33">
        <f>C32*'E Balans VL '!I20/100/3.6*1000000</f>
        <v>14.630879649275656</v>
      </c>
      <c r="F10" s="33">
        <f>C32*'E Balans VL '!L20/100/3.6*1000000+C32*'E Balans VL '!N20/100/3.6*1000000</f>
        <v>2711.0479328093256</v>
      </c>
      <c r="G10" s="34"/>
      <c r="H10" s="33"/>
      <c r="I10" s="33"/>
      <c r="J10" s="40">
        <f>C32*'E Balans VL '!D20/100/3.6*1000000+C32*'E Balans VL '!E20/100/3.6*1000000</f>
        <v>34.348577263492359</v>
      </c>
      <c r="K10" s="33"/>
      <c r="L10" s="33"/>
      <c r="M10" s="33"/>
      <c r="N10" s="33">
        <f>C32*'E Balans VL '!Y20/100/3.6*1000000</f>
        <v>756.50569957998198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51.476980000000005</v>
      </c>
      <c r="C13" s="33"/>
      <c r="D13" s="37">
        <f>IF( ISERROR(IND_papier_gas_kWh/1000),0,IND_papier_gas_kWh/1000)*0.902</f>
        <v>101.90124060613566</v>
      </c>
      <c r="E13" s="33">
        <f>C35*'E Balans VL '!I23/100/3.6*1000000</f>
        <v>0.10661230019248279</v>
      </c>
      <c r="F13" s="33">
        <f>C35*'E Balans VL '!L23/100/3.6*1000000+C35*'E Balans VL '!N23/100/3.6*1000000</f>
        <v>1.0208988712737899</v>
      </c>
      <c r="G13" s="34"/>
      <c r="H13" s="33"/>
      <c r="I13" s="33"/>
      <c r="J13" s="40">
        <f>C35*'E Balans VL '!D23/100/3.6*1000000+C35*'E Balans VL '!E23/100/3.6*1000000</f>
        <v>0</v>
      </c>
      <c r="K13" s="33"/>
      <c r="L13" s="33"/>
      <c r="M13" s="33"/>
      <c r="N13" s="33">
        <f>C35*'E Balans VL '!Y23/100/3.6*1000000</f>
        <v>21.736045096243775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14252.09</v>
      </c>
      <c r="C15" s="33"/>
      <c r="D15" s="37">
        <f>IF( ISERROR(IND_rest_gas_kWh/1000),0,IND_rest_gas_kWh/1000)*0.902</f>
        <v>43263.794827200094</v>
      </c>
      <c r="E15" s="33">
        <f>C37*'E Balans VL '!I15/100/3.6*1000000</f>
        <v>725.04814726781524</v>
      </c>
      <c r="F15" s="33">
        <f>C37*'E Balans VL '!L15/100/3.6*1000000+C37*'E Balans VL '!N15/100/3.6*1000000</f>
        <v>3248.587534699549</v>
      </c>
      <c r="G15" s="34"/>
      <c r="H15" s="33"/>
      <c r="I15" s="33"/>
      <c r="J15" s="40">
        <f>C37*'E Balans VL '!D15/100/3.6*1000000+C37*'E Balans VL '!E15/100/3.6*1000000</f>
        <v>59.792225882701104</v>
      </c>
      <c r="K15" s="33"/>
      <c r="L15" s="33"/>
      <c r="M15" s="33"/>
      <c r="N15" s="33">
        <f>C37*'E Balans VL '!Y15/100/3.6*1000000</f>
        <v>2677.7379706552751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17867.974480000001</v>
      </c>
      <c r="C18" s="21">
        <f>C5+C16</f>
        <v>0</v>
      </c>
      <c r="D18" s="21">
        <f>MAX((D5+D16),0)</f>
        <v>44067.995873708664</v>
      </c>
      <c r="E18" s="21">
        <f>MAX((E5+E16),0)</f>
        <v>1108.300072920747</v>
      </c>
      <c r="F18" s="21">
        <f>MAX((F5+F16),0)</f>
        <v>7226.7689922750342</v>
      </c>
      <c r="G18" s="21"/>
      <c r="H18" s="21"/>
      <c r="I18" s="21"/>
      <c r="J18" s="21">
        <f>MAX((J5+J16),0)</f>
        <v>94.140803146193463</v>
      </c>
      <c r="K18" s="21"/>
      <c r="L18" s="21">
        <f>MAX((L5+L16),0)</f>
        <v>0</v>
      </c>
      <c r="M18" s="21"/>
      <c r="N18" s="21">
        <f>MAX((N5+N16),0)</f>
        <v>3886.0854540359869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0.20785006351203358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3713.8596304993953</v>
      </c>
      <c r="C22" s="23">
        <f ca="1">C18*C20</f>
        <v>0</v>
      </c>
      <c r="D22" s="23">
        <f>D18*D20</f>
        <v>8901.7351664891503</v>
      </c>
      <c r="E22" s="23">
        <f>E18*E20</f>
        <v>251.58411655300958</v>
      </c>
      <c r="F22" s="23">
        <f>F18*F20</f>
        <v>1929.5473209374343</v>
      </c>
      <c r="G22" s="23"/>
      <c r="H22" s="23"/>
      <c r="I22" s="23"/>
      <c r="J22" s="23">
        <f>J18*J20</f>
        <v>33.325844313752484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867.97649999999999</v>
      </c>
      <c r="C30" s="39">
        <f>IF(ISERROR(B30*3.6/1000000/'E Balans VL '!Z18*100),0,B30*3.6/1000000/'E Balans VL '!Z18*100)</f>
        <v>0.12148778436358715</v>
      </c>
      <c r="D30" s="237" t="s">
        <v>692</v>
      </c>
    </row>
    <row r="31" spans="1:18">
      <c r="A31" s="6" t="s">
        <v>33</v>
      </c>
      <c r="B31" s="37">
        <f>IF( ISERROR(IND_ander_ele_kWh/1000),0,IND_ander_ele_kWh/1000)</f>
        <v>1261.25</v>
      </c>
      <c r="C31" s="39">
        <f>IF(ISERROR(B31*3.6/1000000/'E Balans VL '!Z19*100),0,B31*3.6/1000000/'E Balans VL '!Z19*100)</f>
        <v>5.5204707896181045E-2</v>
      </c>
      <c r="D31" s="237" t="s">
        <v>692</v>
      </c>
    </row>
    <row r="32" spans="1:18">
      <c r="A32" s="171" t="s">
        <v>41</v>
      </c>
      <c r="B32" s="37">
        <f>IF( ISERROR(IND_voed_ele_kWh/1000),0,IND_voed_ele_kWh/1000)</f>
        <v>1435.181</v>
      </c>
      <c r="C32" s="39">
        <f>IF(ISERROR(B32*3.6/1000000/'E Balans VL '!Z20*100),0,B32*3.6/1000000/'E Balans VL '!Z20*100)</f>
        <v>0.35530315558984288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51.476980000000005</v>
      </c>
      <c r="C35" s="39">
        <f>IF(ISERROR(B35*3.6/1000000/'E Balans VL '!Z22*100),0,B35*3.6/1000000/'E Balans VL '!Z22*100)</f>
        <v>1.4607066776087306E-3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14252.09</v>
      </c>
      <c r="C37" s="39">
        <f>IF(ISERROR(B37*3.6/1000000/'E Balans VL '!Z15*100),0,B37*3.6/1000000/'E Balans VL '!Z15*100)</f>
        <v>0.1056768072889373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3225.9497000000001</v>
      </c>
      <c r="C5" s="17">
        <f>'Eigen informatie GS &amp; warmtenet'!B60</f>
        <v>0</v>
      </c>
      <c r="D5" s="30">
        <f>IF(ISERROR(SUM(LB_lb_gas_kWh,LB_rest_gas_kWh,onbekend_gas_kWh)/1000),0,SUM(LB_lb_gas_kWh,LB_rest_gas_kWh,onbekend_gas_kWh)/1000)*0.902</f>
        <v>1537.5719744249475</v>
      </c>
      <c r="E5" s="17">
        <f>B17*'E Balans VL '!I25/3.6*1000000/100</f>
        <v>29.880097273334844</v>
      </c>
      <c r="F5" s="17">
        <f>B17*('E Balans VL '!L25/3.6*1000000+'E Balans VL '!N25/3.6*1000000)/100</f>
        <v>8184.8489316871946</v>
      </c>
      <c r="G5" s="18"/>
      <c r="H5" s="17"/>
      <c r="I5" s="17"/>
      <c r="J5" s="17">
        <f>('E Balans VL '!D25+'E Balans VL '!E25)/3.6*1000000*landbouw!B17/100</f>
        <v>494.57409071372649</v>
      </c>
      <c r="K5" s="17"/>
      <c r="L5" s="17">
        <f>L6*(-1)</f>
        <v>0</v>
      </c>
      <c r="M5" s="17"/>
      <c r="N5" s="17">
        <f>N6*(-1)</f>
        <v>0</v>
      </c>
      <c r="O5" s="17"/>
      <c r="P5" s="17"/>
      <c r="R5" s="32"/>
    </row>
    <row r="6" spans="1:18">
      <c r="A6" s="16" t="s">
        <v>494</v>
      </c>
      <c r="B6" s="17" t="s">
        <v>211</v>
      </c>
      <c r="C6" s="17">
        <f>'lokale energieproductie'!O91+'lokale energieproductie'!O60</f>
        <v>7714.2857142857147</v>
      </c>
      <c r="D6" s="310">
        <f>('lokale energieproductie'!P60+'lokale energieproductie'!P91)*(-1)</f>
        <v>-15428.571428571429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3225.9497000000001</v>
      </c>
      <c r="C8" s="21">
        <f>C5+C6</f>
        <v>7714.2857142857147</v>
      </c>
      <c r="D8" s="21">
        <f>MAX((D5+D6),0)</f>
        <v>0</v>
      </c>
      <c r="E8" s="21">
        <f>MAX((E5+E6),0)</f>
        <v>29.880097273334844</v>
      </c>
      <c r="F8" s="21">
        <f>MAX((F5+F6),0)</f>
        <v>8184.8489316871946</v>
      </c>
      <c r="G8" s="21"/>
      <c r="H8" s="21"/>
      <c r="I8" s="21"/>
      <c r="J8" s="21">
        <f>MAX((J5+J6),0)</f>
        <v>494.57409071372649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0.20785006351203358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670.51385003162568</v>
      </c>
      <c r="C12" s="23">
        <f ca="1">C8*C10</f>
        <v>1833.2773109243701</v>
      </c>
      <c r="D12" s="23">
        <f>D8*D10</f>
        <v>0</v>
      </c>
      <c r="E12" s="23">
        <f>E8*E10</f>
        <v>6.7827820810470101</v>
      </c>
      <c r="F12" s="23">
        <f>F8*F10</f>
        <v>2185.3546647604812</v>
      </c>
      <c r="G12" s="23"/>
      <c r="H12" s="23"/>
      <c r="I12" s="23"/>
      <c r="J12" s="23">
        <f>J8*J10</f>
        <v>175.07922811265917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0.45866164538314541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441.86538788021926</v>
      </c>
      <c r="C26" s="247">
        <f>B26*'GWP N2O_CH4'!B5</f>
        <v>9279.1731454846049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403.13703416371504</v>
      </c>
      <c r="C27" s="247">
        <f>B27*'GWP N2O_CH4'!B5</f>
        <v>8465.8777174380157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7.8181832608224688</v>
      </c>
      <c r="C28" s="247">
        <f>B28*'GWP N2O_CH4'!B4</f>
        <v>2423.6368108549655</v>
      </c>
      <c r="D28" s="50"/>
    </row>
    <row r="29" spans="1:4">
      <c r="A29" s="41" t="s">
        <v>277</v>
      </c>
      <c r="B29" s="247">
        <f>B34*'ha_N2O bodem landbouw'!B4</f>
        <v>11.578007721133822</v>
      </c>
      <c r="C29" s="247">
        <f>B29*'GWP N2O_CH4'!B4</f>
        <v>3589.1823935514849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2.596743158494869E-3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6.9481962409041994E-5</v>
      </c>
      <c r="C5" s="464" t="s">
        <v>211</v>
      </c>
      <c r="D5" s="449">
        <f>SUM(D6:D11)</f>
        <v>1.7249399980638318E-4</v>
      </c>
      <c r="E5" s="449">
        <f>SUM(E6:E11)</f>
        <v>1.2940093773094563E-3</v>
      </c>
      <c r="F5" s="462" t="s">
        <v>211</v>
      </c>
      <c r="G5" s="449">
        <f>SUM(G6:G11)</f>
        <v>0.43401735218188847</v>
      </c>
      <c r="H5" s="449">
        <f>SUM(H6:H11)</f>
        <v>6.7419618187681607E-2</v>
      </c>
      <c r="I5" s="464" t="s">
        <v>211</v>
      </c>
      <c r="J5" s="464" t="s">
        <v>211</v>
      </c>
      <c r="K5" s="464" t="s">
        <v>211</v>
      </c>
      <c r="L5" s="464" t="s">
        <v>211</v>
      </c>
      <c r="M5" s="449">
        <f>SUM(M6:M11)</f>
        <v>2.7181330683198637E-2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1.9942115890147512E-5</v>
      </c>
      <c r="C6" s="450"/>
      <c r="D6" s="963">
        <f>vkm_2011_GW_PW*SUMIFS(TableVerdeelsleutelVkm[CNG],TableVerdeelsleutelVkm[Voertuigtype],"Lichte voertuigen")*SUMIFS(TableECFTransport[EnergieConsumptieFactor (PJ per km)],TableECFTransport[Index],CONCATENATE($A6,"_CNG_CNG"))</f>
        <v>4.6128309589921295E-5</v>
      </c>
      <c r="E6" s="963">
        <f>vkm_2011_GW_PW*SUMIFS(TableVerdeelsleutelVkm[LPG],TableVerdeelsleutelVkm[Voertuigtype],"Lichte voertuigen")*SUMIFS(TableECFTransport[EnergieConsumptieFactor (PJ per km)],TableECFTransport[Index],CONCATENATE($A6,"_LPG_LPG"))</f>
        <v>3.0035969594367486E-4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6.2397504690197267E-2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1.7588567089205906E-2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4.1508624830097008E-3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5.1345514488192016E-2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1.7559233476981606E-5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2.9706290527257932E-3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3.7315934426007252E-6</v>
      </c>
      <c r="C8" s="450"/>
      <c r="D8" s="452">
        <f>vkm_2011_NGW_PW*SUMIFS(TableVerdeelsleutelVkm[CNG],TableVerdeelsleutelVkm[Voertuigtype],"Lichte voertuigen")*SUMIFS(TableECFTransport[EnergieConsumptieFactor (PJ per km)],TableECFTransport[Index],CONCATENATE($A8,"_CNG_CNG"))</f>
        <v>1.5266753926206837E-5</v>
      </c>
      <c r="E8" s="452">
        <f>vkm_2011_NGW_PW*SUMIFS(TableVerdeelsleutelVkm[LPG],TableVerdeelsleutelVkm[Voertuigtype],"Lichte voertuigen")*SUMIFS(TableECFTransport[EnergieConsumptieFactor (PJ per km)],TableECFTransport[Index],CONCATENATE($A8,"_LPG_LPG"))</f>
        <v>9.1743133110014255E-5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1.7816381673382592E-2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5.6286520486791081E-3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1.2038710813512881E-3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6.1271926113998414E-3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1.9826881553140121E-6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3.5448935355150897E-4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4.5808253076293753E-5</v>
      </c>
      <c r="C10" s="450"/>
      <c r="D10" s="452">
        <f>vkm_2011_SW_PW*SUMIFS(TableVerdeelsleutelVkm[CNG],TableVerdeelsleutelVkm[Voertuigtype],"Lichte voertuigen")*SUMIFS(TableECFTransport[EnergieConsumptieFactor (PJ per km)],TableECFTransport[Index],CONCATENATE($A10,"_CNG_CNG"))</f>
        <v>1.1109893629025506E-4</v>
      </c>
      <c r="E10" s="452">
        <f>vkm_2011_SW_PW*SUMIFS(TableVerdeelsleutelVkm[LPG],TableVerdeelsleutelVkm[Voertuigtype],"Lichte voertuigen")*SUMIFS(TableECFTransport[EnergieConsumptieFactor (PJ per km)],TableECFTransport[Index],CONCATENATE($A10,"_LPG_LPG"))</f>
        <v>9.0190654825576724E-4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0.16868242050198398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4.4135810767804887E-2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1.1116194350071459E-2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0.12764833821673277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4.7046360359397165E-5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7.3852843624888885E-3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19.300545113622778</v>
      </c>
      <c r="C14" s="21"/>
      <c r="D14" s="21">
        <f t="shared" ref="D14:M14" si="0">((D5)*10^9/3600)+D12</f>
        <v>47.914999946217556</v>
      </c>
      <c r="E14" s="21">
        <f t="shared" si="0"/>
        <v>359.44704925262675</v>
      </c>
      <c r="F14" s="21"/>
      <c r="G14" s="21">
        <f t="shared" si="0"/>
        <v>120560.37560608012</v>
      </c>
      <c r="H14" s="21">
        <f t="shared" si="0"/>
        <v>18727.671718800444</v>
      </c>
      <c r="I14" s="21"/>
      <c r="J14" s="21"/>
      <c r="K14" s="21"/>
      <c r="L14" s="21"/>
      <c r="M14" s="21">
        <f t="shared" si="0"/>
        <v>7550.3696342218436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0.20785006351203358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4.0116195276833642</v>
      </c>
      <c r="C18" s="23"/>
      <c r="D18" s="23">
        <f t="shared" ref="D18:M18" si="1">D14*D16</f>
        <v>9.6788299891359468</v>
      </c>
      <c r="E18" s="23">
        <f t="shared" si="1"/>
        <v>81.594480180346281</v>
      </c>
      <c r="F18" s="23"/>
      <c r="G18" s="23">
        <f t="shared" si="1"/>
        <v>32189.620286823396</v>
      </c>
      <c r="H18" s="23">
        <f t="shared" si="1"/>
        <v>4663.1902579813104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1.1826567245668824E-3</v>
      </c>
      <c r="H50" s="321">
        <f t="shared" si="2"/>
        <v>0</v>
      </c>
      <c r="I50" s="321">
        <f t="shared" si="2"/>
        <v>0</v>
      </c>
      <c r="J50" s="321">
        <f t="shared" si="2"/>
        <v>0</v>
      </c>
      <c r="K50" s="321">
        <f t="shared" si="2"/>
        <v>0</v>
      </c>
      <c r="L50" s="321">
        <f t="shared" si="2"/>
        <v>0</v>
      </c>
      <c r="M50" s="321">
        <f t="shared" si="2"/>
        <v>6.7443465371457053E-5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1.1826567245668824E-3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6.7443465371457053E-5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328.51575682413403</v>
      </c>
      <c r="H54" s="21">
        <f t="shared" si="3"/>
        <v>0</v>
      </c>
      <c r="I54" s="21">
        <f t="shared" si="3"/>
        <v>0</v>
      </c>
      <c r="J54" s="21">
        <f t="shared" si="3"/>
        <v>0</v>
      </c>
      <c r="K54" s="21">
        <f t="shared" si="3"/>
        <v>0</v>
      </c>
      <c r="L54" s="21">
        <f t="shared" si="3"/>
        <v>0</v>
      </c>
      <c r="M54" s="21">
        <f t="shared" si="3"/>
        <v>18.734295936515849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0.20785006351203358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87.713707072043789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3206.9004249267437</v>
      </c>
      <c r="C6" s="1216"/>
      <c r="D6" s="1201"/>
      <c r="E6" s="1201"/>
      <c r="F6" s="1219"/>
      <c r="G6" s="1222"/>
      <c r="H6" s="1213"/>
      <c r="I6" s="1201"/>
      <c r="J6" s="1201"/>
      <c r="K6" s="1201"/>
      <c r="L6" s="1205"/>
      <c r="M6" s="576"/>
      <c r="N6" s="1179"/>
      <c r="O6" s="1180"/>
      <c r="Q6" s="574"/>
      <c r="R6" s="1167"/>
      <c r="S6" s="1167"/>
    </row>
    <row r="7" spans="1:19" s="564" customFormat="1">
      <c r="A7" s="577" t="s">
        <v>252</v>
      </c>
      <c r="B7" s="578">
        <f>N57</f>
        <v>5400</v>
      </c>
      <c r="C7" s="579">
        <f>B100</f>
        <v>6352.9411764705892</v>
      </c>
      <c r="D7" s="580"/>
      <c r="E7" s="580">
        <f>E100</f>
        <v>0</v>
      </c>
      <c r="F7" s="581"/>
      <c r="G7" s="582"/>
      <c r="H7" s="580">
        <f>I100</f>
        <v>0</v>
      </c>
      <c r="I7" s="580">
        <f>G100+F100</f>
        <v>0</v>
      </c>
      <c r="J7" s="580">
        <f>H100+D100+C100</f>
        <v>0</v>
      </c>
      <c r="K7" s="580"/>
      <c r="L7" s="583"/>
      <c r="M7" s="584">
        <f>C7*$C$11+D7*$D$11+E7*$E$11+F7*$F$11+G7*$G$11+H7*$H$11+I7*$I$11+J7*$J$11</f>
        <v>1283.294117647059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8606.9004249267437</v>
      </c>
      <c r="C9" s="595">
        <f t="shared" ref="C9:L9" si="0">SUM(C7:C8)</f>
        <v>6352.9411764705892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1283.294117647059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7714.2857142857147</v>
      </c>
      <c r="C16" s="611">
        <f>B101</f>
        <v>9075.630252100842</v>
      </c>
      <c r="D16" s="612"/>
      <c r="E16" s="612">
        <f>E101</f>
        <v>0</v>
      </c>
      <c r="F16" s="613"/>
      <c r="G16" s="614"/>
      <c r="H16" s="611">
        <f>I101</f>
        <v>0</v>
      </c>
      <c r="I16" s="612">
        <f>G101+F101</f>
        <v>0</v>
      </c>
      <c r="J16" s="612">
        <f>H101+D101+C101</f>
        <v>0</v>
      </c>
      <c r="K16" s="612"/>
      <c r="L16" s="615"/>
      <c r="M16" s="616">
        <f>C16*$C$21+E16*$E$21+H16*$H$21+I16*$I$21+J16*$J$21+D16*$D$21+F16*$F$21+G16*$G$21+K16*$K$21+L16*$L$21</f>
        <v>1833.2773109243701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7714.2857142857147</v>
      </c>
      <c r="C19" s="594">
        <f>SUM(C16:C18)</f>
        <v>9075.630252100842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1833.2773109243701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36011</v>
      </c>
      <c r="C27" s="852">
        <v>8810</v>
      </c>
      <c r="D27" s="673" t="s">
        <v>834</v>
      </c>
      <c r="E27" s="672" t="s">
        <v>835</v>
      </c>
      <c r="F27" s="672" t="s">
        <v>836</v>
      </c>
      <c r="G27" s="672" t="s">
        <v>837</v>
      </c>
      <c r="H27" s="672" t="s">
        <v>838</v>
      </c>
      <c r="I27" s="672" t="s">
        <v>839</v>
      </c>
      <c r="J27" s="851">
        <v>41044</v>
      </c>
      <c r="K27" s="851">
        <v>41044</v>
      </c>
      <c r="L27" s="672" t="s">
        <v>840</v>
      </c>
      <c r="M27" s="672">
        <v>1200</v>
      </c>
      <c r="N27" s="672">
        <v>5400</v>
      </c>
      <c r="O27" s="672">
        <v>7714.2857142857147</v>
      </c>
      <c r="P27" s="672">
        <v>15428.571428571429</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1200</v>
      </c>
      <c r="N57" s="630">
        <f>SUM(N27:N56)</f>
        <v>5400</v>
      </c>
      <c r="O57" s="630">
        <f t="shared" ref="O57:W57" si="2">SUM(O27:O56)</f>
        <v>7714.2857142857147</v>
      </c>
      <c r="P57" s="630">
        <f t="shared" si="2"/>
        <v>15428.571428571429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1200</v>
      </c>
      <c r="N60" s="635">
        <f t="shared" ref="N60:W60" si="4">SUMIF($Z$27:$Z$56,"landbouw",N27:N56)</f>
        <v>5400</v>
      </c>
      <c r="O60" s="635">
        <f t="shared" si="4"/>
        <v>7714.2857142857147</v>
      </c>
      <c r="P60" s="635">
        <f t="shared" si="4"/>
        <v>15428.571428571429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6352.9411764705892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9075.630252100842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8656.4585000000006</v>
      </c>
      <c r="D10" s="719">
        <f ca="1">tertiair!C16</f>
        <v>0</v>
      </c>
      <c r="E10" s="719">
        <f ca="1">tertiair!D16</f>
        <v>20529.479891880466</v>
      </c>
      <c r="F10" s="719">
        <f>tertiair!E16</f>
        <v>95.099709867113489</v>
      </c>
      <c r="G10" s="719">
        <f ca="1">tertiair!F16</f>
        <v>1178.9667096744431</v>
      </c>
      <c r="H10" s="719">
        <f>tertiair!G16</f>
        <v>0</v>
      </c>
      <c r="I10" s="719">
        <f>tertiair!H16</f>
        <v>0</v>
      </c>
      <c r="J10" s="719">
        <f>tertiair!I16</f>
        <v>0</v>
      </c>
      <c r="K10" s="719">
        <f>tertiair!J16</f>
        <v>0</v>
      </c>
      <c r="L10" s="719">
        <f>tertiair!K16</f>
        <v>0</v>
      </c>
      <c r="M10" s="719">
        <f ca="1">tertiair!L16</f>
        <v>0</v>
      </c>
      <c r="N10" s="719">
        <f>tertiair!M16</f>
        <v>0</v>
      </c>
      <c r="O10" s="719">
        <f ca="1">tertiair!N16</f>
        <v>464.22403592133611</v>
      </c>
      <c r="P10" s="719">
        <f>tertiair!O16</f>
        <v>0</v>
      </c>
      <c r="Q10" s="720">
        <f>tertiair!P16</f>
        <v>19.066666666666666</v>
      </c>
      <c r="R10" s="722">
        <f ca="1">SUM(C10:Q10)</f>
        <v>30943.295514010024</v>
      </c>
      <c r="S10" s="67"/>
    </row>
    <row r="11" spans="1:19" s="475" customFormat="1">
      <c r="A11" s="871" t="s">
        <v>225</v>
      </c>
      <c r="B11" s="876"/>
      <c r="C11" s="719">
        <f>huishoudens!B8</f>
        <v>17289.926289202114</v>
      </c>
      <c r="D11" s="719">
        <f>huishoudens!C8</f>
        <v>0</v>
      </c>
      <c r="E11" s="719">
        <f>huishoudens!D8</f>
        <v>26413.678273948815</v>
      </c>
      <c r="F11" s="719">
        <f>huishoudens!E8</f>
        <v>3450.7488187096415</v>
      </c>
      <c r="G11" s="719">
        <f>huishoudens!F8</f>
        <v>9430.5757675231434</v>
      </c>
      <c r="H11" s="719">
        <f>huishoudens!G8</f>
        <v>0</v>
      </c>
      <c r="I11" s="719">
        <f>huishoudens!H8</f>
        <v>0</v>
      </c>
      <c r="J11" s="719">
        <f>huishoudens!I8</f>
        <v>0</v>
      </c>
      <c r="K11" s="719">
        <f>huishoudens!J8</f>
        <v>2247.6328977735011</v>
      </c>
      <c r="L11" s="719">
        <f>huishoudens!K8</f>
        <v>0</v>
      </c>
      <c r="M11" s="719">
        <f>huishoudens!L8</f>
        <v>0</v>
      </c>
      <c r="N11" s="719">
        <f>huishoudens!M8</f>
        <v>0</v>
      </c>
      <c r="O11" s="719">
        <f>huishoudens!N8</f>
        <v>9373.7592611171676</v>
      </c>
      <c r="P11" s="719">
        <f>huishoudens!O8</f>
        <v>240.75333333333336</v>
      </c>
      <c r="Q11" s="720">
        <f>huishoudens!P8</f>
        <v>171.6</v>
      </c>
      <c r="R11" s="722">
        <f>SUM(C11:Q11)</f>
        <v>68618.674641607722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17867.974480000001</v>
      </c>
      <c r="D13" s="719">
        <f>industrie!C18</f>
        <v>0</v>
      </c>
      <c r="E13" s="719">
        <f>industrie!D18</f>
        <v>44067.995873708664</v>
      </c>
      <c r="F13" s="719">
        <f>industrie!E18</f>
        <v>1108.300072920747</v>
      </c>
      <c r="G13" s="719">
        <f>industrie!F18</f>
        <v>7226.7689922750342</v>
      </c>
      <c r="H13" s="719">
        <f>industrie!G18</f>
        <v>0</v>
      </c>
      <c r="I13" s="719">
        <f>industrie!H18</f>
        <v>0</v>
      </c>
      <c r="J13" s="719">
        <f>industrie!I18</f>
        <v>0</v>
      </c>
      <c r="K13" s="719">
        <f>industrie!J18</f>
        <v>94.140803146193463</v>
      </c>
      <c r="L13" s="719">
        <f>industrie!K18</f>
        <v>0</v>
      </c>
      <c r="M13" s="719">
        <f>industrie!L18</f>
        <v>0</v>
      </c>
      <c r="N13" s="719">
        <f>industrie!M18</f>
        <v>0</v>
      </c>
      <c r="O13" s="719">
        <f>industrie!N18</f>
        <v>3886.0854540359869</v>
      </c>
      <c r="P13" s="719">
        <f>industrie!O18</f>
        <v>0</v>
      </c>
      <c r="Q13" s="720">
        <f>industrie!P18</f>
        <v>0</v>
      </c>
      <c r="R13" s="722">
        <f>SUM(C13:Q13)</f>
        <v>74251.265676086623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43814.359269202119</v>
      </c>
      <c r="D15" s="724">
        <f t="shared" ref="D15:Q15" ca="1" si="0">SUM(D9:D14)</f>
        <v>0</v>
      </c>
      <c r="E15" s="724">
        <f t="shared" ca="1" si="0"/>
        <v>91011.154039537942</v>
      </c>
      <c r="F15" s="724">
        <f t="shared" si="0"/>
        <v>4654.1486014975017</v>
      </c>
      <c r="G15" s="724">
        <f t="shared" ca="1" si="0"/>
        <v>17836.311469472621</v>
      </c>
      <c r="H15" s="724">
        <f t="shared" si="0"/>
        <v>0</v>
      </c>
      <c r="I15" s="724">
        <f t="shared" si="0"/>
        <v>0</v>
      </c>
      <c r="J15" s="724">
        <f t="shared" si="0"/>
        <v>0</v>
      </c>
      <c r="K15" s="724">
        <f t="shared" si="0"/>
        <v>2341.7737009196944</v>
      </c>
      <c r="L15" s="724">
        <f t="shared" si="0"/>
        <v>0</v>
      </c>
      <c r="M15" s="724">
        <f t="shared" ca="1" si="0"/>
        <v>0</v>
      </c>
      <c r="N15" s="724">
        <f t="shared" si="0"/>
        <v>0</v>
      </c>
      <c r="O15" s="724">
        <f t="shared" ca="1" si="0"/>
        <v>13724.06875107449</v>
      </c>
      <c r="P15" s="724">
        <f t="shared" si="0"/>
        <v>240.75333333333336</v>
      </c>
      <c r="Q15" s="725">
        <f t="shared" si="0"/>
        <v>190.66666666666666</v>
      </c>
      <c r="R15" s="726">
        <f ca="1">SUM(R9:R14)</f>
        <v>173813.23583170437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328.51575682413403</v>
      </c>
      <c r="I18" s="719">
        <f>transport!H54</f>
        <v>0</v>
      </c>
      <c r="J18" s="719">
        <f>transport!I54</f>
        <v>0</v>
      </c>
      <c r="K18" s="719">
        <f>transport!J54</f>
        <v>0</v>
      </c>
      <c r="L18" s="719">
        <f>transport!K54</f>
        <v>0</v>
      </c>
      <c r="M18" s="719">
        <f>transport!L54</f>
        <v>0</v>
      </c>
      <c r="N18" s="719">
        <f>transport!M54</f>
        <v>18.734295936515849</v>
      </c>
      <c r="O18" s="719">
        <f>transport!N54</f>
        <v>0</v>
      </c>
      <c r="P18" s="719">
        <f>transport!O54</f>
        <v>0</v>
      </c>
      <c r="Q18" s="720">
        <f>transport!P54</f>
        <v>0</v>
      </c>
      <c r="R18" s="722">
        <f>SUM(C18:Q18)</f>
        <v>347.25005276064985</v>
      </c>
      <c r="S18" s="67"/>
    </row>
    <row r="19" spans="1:19" s="475" customFormat="1" ht="15" thickBot="1">
      <c r="A19" s="871" t="s">
        <v>307</v>
      </c>
      <c r="B19" s="876"/>
      <c r="C19" s="728">
        <f>transport!B14</f>
        <v>19.300545113622778</v>
      </c>
      <c r="D19" s="728">
        <f>transport!C14</f>
        <v>0</v>
      </c>
      <c r="E19" s="728">
        <f>transport!D14</f>
        <v>47.914999946217556</v>
      </c>
      <c r="F19" s="728">
        <f>transport!E14</f>
        <v>359.44704925262675</v>
      </c>
      <c r="G19" s="728">
        <f>transport!F14</f>
        <v>0</v>
      </c>
      <c r="H19" s="728">
        <f>transport!G14</f>
        <v>120560.37560608012</v>
      </c>
      <c r="I19" s="728">
        <f>transport!H14</f>
        <v>18727.671718800444</v>
      </c>
      <c r="J19" s="728">
        <f>transport!I14</f>
        <v>0</v>
      </c>
      <c r="K19" s="728">
        <f>transport!J14</f>
        <v>0</v>
      </c>
      <c r="L19" s="728">
        <f>transport!K14</f>
        <v>0</v>
      </c>
      <c r="M19" s="728">
        <f>transport!L14</f>
        <v>0</v>
      </c>
      <c r="N19" s="728">
        <f>transport!M14</f>
        <v>7550.3696342218436</v>
      </c>
      <c r="O19" s="728">
        <f>transport!N14</f>
        <v>0</v>
      </c>
      <c r="P19" s="728">
        <f>transport!O14</f>
        <v>0</v>
      </c>
      <c r="Q19" s="729">
        <f>transport!P14</f>
        <v>0</v>
      </c>
      <c r="R19" s="730">
        <f>SUM(C19:Q19)</f>
        <v>147265.07955341486</v>
      </c>
      <c r="S19" s="67"/>
    </row>
    <row r="20" spans="1:19" s="475" customFormat="1" ht="15.75" thickBot="1">
      <c r="A20" s="731" t="s">
        <v>230</v>
      </c>
      <c r="B20" s="879"/>
      <c r="C20" s="874">
        <f>SUM(C17:C19)</f>
        <v>19.300545113622778</v>
      </c>
      <c r="D20" s="732">
        <f t="shared" ref="D20:R20" si="1">SUM(D17:D19)</f>
        <v>0</v>
      </c>
      <c r="E20" s="732">
        <f t="shared" si="1"/>
        <v>47.914999946217556</v>
      </c>
      <c r="F20" s="732">
        <f t="shared" si="1"/>
        <v>359.44704925262675</v>
      </c>
      <c r="G20" s="732">
        <f t="shared" si="1"/>
        <v>0</v>
      </c>
      <c r="H20" s="732">
        <f t="shared" si="1"/>
        <v>120888.89136290427</v>
      </c>
      <c r="I20" s="732">
        <f t="shared" si="1"/>
        <v>18727.671718800444</v>
      </c>
      <c r="J20" s="732">
        <f t="shared" si="1"/>
        <v>0</v>
      </c>
      <c r="K20" s="732">
        <f t="shared" si="1"/>
        <v>0</v>
      </c>
      <c r="L20" s="732">
        <f t="shared" si="1"/>
        <v>0</v>
      </c>
      <c r="M20" s="732">
        <f t="shared" si="1"/>
        <v>0</v>
      </c>
      <c r="N20" s="732">
        <f t="shared" si="1"/>
        <v>7569.1039301583596</v>
      </c>
      <c r="O20" s="732">
        <f t="shared" si="1"/>
        <v>0</v>
      </c>
      <c r="P20" s="732">
        <f t="shared" si="1"/>
        <v>0</v>
      </c>
      <c r="Q20" s="733">
        <f t="shared" si="1"/>
        <v>0</v>
      </c>
      <c r="R20" s="734">
        <f t="shared" si="1"/>
        <v>147612.32960617551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3225.9497000000001</v>
      </c>
      <c r="D22" s="728">
        <f>+landbouw!C8</f>
        <v>7714.2857142857147</v>
      </c>
      <c r="E22" s="728">
        <f>+landbouw!D8</f>
        <v>0</v>
      </c>
      <c r="F22" s="728">
        <f>+landbouw!E8</f>
        <v>29.880097273334844</v>
      </c>
      <c r="G22" s="728">
        <f>+landbouw!F8</f>
        <v>8184.8489316871946</v>
      </c>
      <c r="H22" s="728">
        <f>+landbouw!G8</f>
        <v>0</v>
      </c>
      <c r="I22" s="728">
        <f>+landbouw!H8</f>
        <v>0</v>
      </c>
      <c r="J22" s="728">
        <f>+landbouw!I8</f>
        <v>0</v>
      </c>
      <c r="K22" s="728">
        <f>+landbouw!J8</f>
        <v>494.57409071372649</v>
      </c>
      <c r="L22" s="728">
        <f>+landbouw!K8</f>
        <v>0</v>
      </c>
      <c r="M22" s="728">
        <f>+landbouw!L8</f>
        <v>0</v>
      </c>
      <c r="N22" s="728">
        <f>+landbouw!M8</f>
        <v>0</v>
      </c>
      <c r="O22" s="728">
        <f>+landbouw!N8</f>
        <v>0</v>
      </c>
      <c r="P22" s="728">
        <f>+landbouw!O8</f>
        <v>0</v>
      </c>
      <c r="Q22" s="729">
        <f>+landbouw!P8</f>
        <v>0</v>
      </c>
      <c r="R22" s="730">
        <f>SUM(C22:Q22)</f>
        <v>19649.538533959971</v>
      </c>
      <c r="S22" s="67"/>
    </row>
    <row r="23" spans="1:19" s="475" customFormat="1" ht="17.25" thickTop="1" thickBot="1">
      <c r="A23" s="735" t="s">
        <v>116</v>
      </c>
      <c r="B23" s="865"/>
      <c r="C23" s="736">
        <f ca="1">C20+C15+C22</f>
        <v>47059.609514315736</v>
      </c>
      <c r="D23" s="736">
        <f t="shared" ref="D23:Q23" ca="1" si="2">D20+D15+D22</f>
        <v>7714.2857142857147</v>
      </c>
      <c r="E23" s="736">
        <f t="shared" ca="1" si="2"/>
        <v>91059.069039484166</v>
      </c>
      <c r="F23" s="736">
        <f t="shared" si="2"/>
        <v>5043.4757480234639</v>
      </c>
      <c r="G23" s="736">
        <f t="shared" ca="1" si="2"/>
        <v>26021.160401159817</v>
      </c>
      <c r="H23" s="736">
        <f t="shared" si="2"/>
        <v>120888.89136290427</v>
      </c>
      <c r="I23" s="736">
        <f t="shared" si="2"/>
        <v>18727.671718800444</v>
      </c>
      <c r="J23" s="736">
        <f t="shared" si="2"/>
        <v>0</v>
      </c>
      <c r="K23" s="736">
        <f t="shared" si="2"/>
        <v>2836.3477916334209</v>
      </c>
      <c r="L23" s="736">
        <f t="shared" si="2"/>
        <v>0</v>
      </c>
      <c r="M23" s="736">
        <f t="shared" ca="1" si="2"/>
        <v>0</v>
      </c>
      <c r="N23" s="736">
        <f t="shared" si="2"/>
        <v>7569.1039301583596</v>
      </c>
      <c r="O23" s="736">
        <f t="shared" ca="1" si="2"/>
        <v>13724.06875107449</v>
      </c>
      <c r="P23" s="736">
        <f t="shared" si="2"/>
        <v>240.75333333333336</v>
      </c>
      <c r="Q23" s="737">
        <f t="shared" si="2"/>
        <v>190.66666666666666</v>
      </c>
      <c r="R23" s="738">
        <f ca="1">R20+R15+R22</f>
        <v>341075.10397183982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1799.2454490142829</v>
      </c>
      <c r="D36" s="719">
        <f ca="1">tertiair!C20</f>
        <v>0</v>
      </c>
      <c r="E36" s="719">
        <f ca="1">tertiair!D20</f>
        <v>4146.9549381598545</v>
      </c>
      <c r="F36" s="719">
        <f>tertiair!E20</f>
        <v>21.587634139834762</v>
      </c>
      <c r="G36" s="719">
        <f ca="1">tertiair!F20</f>
        <v>314.78411148307634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6282.5721327970477</v>
      </c>
    </row>
    <row r="37" spans="1:18">
      <c r="A37" s="886" t="s">
        <v>225</v>
      </c>
      <c r="B37" s="893"/>
      <c r="C37" s="719">
        <f ca="1">huishoudens!B12</f>
        <v>3593.7122773290384</v>
      </c>
      <c r="D37" s="719">
        <f ca="1">huishoudens!C12</f>
        <v>0</v>
      </c>
      <c r="E37" s="719">
        <f>huishoudens!D12</f>
        <v>5335.563011337661</v>
      </c>
      <c r="F37" s="719">
        <f>huishoudens!E12</f>
        <v>783.31998184708868</v>
      </c>
      <c r="G37" s="719">
        <f>huishoudens!F12</f>
        <v>2517.9637299286796</v>
      </c>
      <c r="H37" s="719">
        <f>huishoudens!G12</f>
        <v>0</v>
      </c>
      <c r="I37" s="719">
        <f>huishoudens!H12</f>
        <v>0</v>
      </c>
      <c r="J37" s="719">
        <f>huishoudens!I12</f>
        <v>0</v>
      </c>
      <c r="K37" s="719">
        <f>huishoudens!J12</f>
        <v>795.66204581181933</v>
      </c>
      <c r="L37" s="719">
        <f>huishoudens!K12</f>
        <v>0</v>
      </c>
      <c r="M37" s="719">
        <f>huishoudens!L12</f>
        <v>0</v>
      </c>
      <c r="N37" s="719">
        <f>huishoudens!M12</f>
        <v>0</v>
      </c>
      <c r="O37" s="719">
        <f>huishoudens!N12</f>
        <v>0</v>
      </c>
      <c r="P37" s="719">
        <f>huishoudens!O12</f>
        <v>0</v>
      </c>
      <c r="Q37" s="829">
        <f>huishoudens!P12</f>
        <v>0</v>
      </c>
      <c r="R37" s="918">
        <f ca="1">SUM(C37:Q37)</f>
        <v>13026.22104625429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3713.8596304993953</v>
      </c>
      <c r="D39" s="719">
        <f ca="1">industrie!C22</f>
        <v>0</v>
      </c>
      <c r="E39" s="719">
        <f>industrie!D22</f>
        <v>8901.7351664891503</v>
      </c>
      <c r="F39" s="719">
        <f>industrie!E22</f>
        <v>251.58411655300958</v>
      </c>
      <c r="G39" s="719">
        <f>industrie!F22</f>
        <v>1929.5473209374343</v>
      </c>
      <c r="H39" s="719">
        <f>industrie!G22</f>
        <v>0</v>
      </c>
      <c r="I39" s="719">
        <f>industrie!H22</f>
        <v>0</v>
      </c>
      <c r="J39" s="719">
        <f>industrie!I22</f>
        <v>0</v>
      </c>
      <c r="K39" s="719">
        <f>industrie!J22</f>
        <v>33.325844313752484</v>
      </c>
      <c r="L39" s="719">
        <f>industrie!K22</f>
        <v>0</v>
      </c>
      <c r="M39" s="719">
        <f>industrie!L22</f>
        <v>0</v>
      </c>
      <c r="N39" s="719">
        <f>industrie!M22</f>
        <v>0</v>
      </c>
      <c r="O39" s="719">
        <f>industrie!N22</f>
        <v>0</v>
      </c>
      <c r="P39" s="719">
        <f>industrie!O22</f>
        <v>0</v>
      </c>
      <c r="Q39" s="829">
        <f>industrie!P22</f>
        <v>0</v>
      </c>
      <c r="R39" s="919">
        <f ca="1">SUM(C39:Q39)</f>
        <v>14830.052078792742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9106.8173568427155</v>
      </c>
      <c r="D41" s="764">
        <f t="shared" ref="D41:R41" ca="1" si="4">SUM(D35:D40)</f>
        <v>0</v>
      </c>
      <c r="E41" s="764">
        <f t="shared" ca="1" si="4"/>
        <v>18384.253115986667</v>
      </c>
      <c r="F41" s="764">
        <f t="shared" si="4"/>
        <v>1056.4917325399331</v>
      </c>
      <c r="G41" s="764">
        <f t="shared" ca="1" si="4"/>
        <v>4762.2951623491899</v>
      </c>
      <c r="H41" s="764">
        <f t="shared" si="4"/>
        <v>0</v>
      </c>
      <c r="I41" s="764">
        <f t="shared" si="4"/>
        <v>0</v>
      </c>
      <c r="J41" s="764">
        <f t="shared" si="4"/>
        <v>0</v>
      </c>
      <c r="K41" s="764">
        <f t="shared" si="4"/>
        <v>828.98789012557177</v>
      </c>
      <c r="L41" s="764">
        <f t="shared" si="4"/>
        <v>0</v>
      </c>
      <c r="M41" s="764">
        <f t="shared" ca="1" si="4"/>
        <v>0</v>
      </c>
      <c r="N41" s="764">
        <f t="shared" si="4"/>
        <v>0</v>
      </c>
      <c r="O41" s="764">
        <f t="shared" ca="1" si="4"/>
        <v>0</v>
      </c>
      <c r="P41" s="764">
        <f t="shared" si="4"/>
        <v>0</v>
      </c>
      <c r="Q41" s="765">
        <f t="shared" si="4"/>
        <v>0</v>
      </c>
      <c r="R41" s="766">
        <f t="shared" ca="1" si="4"/>
        <v>34138.845257844077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87.713707072043789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87.713707072043789</v>
      </c>
    </row>
    <row r="45" spans="1:18" ht="15" thickBot="1">
      <c r="A45" s="889" t="s">
        <v>307</v>
      </c>
      <c r="B45" s="899"/>
      <c r="C45" s="728">
        <f ca="1">transport!B18</f>
        <v>4.0116195276833642</v>
      </c>
      <c r="D45" s="728">
        <f>transport!C18</f>
        <v>0</v>
      </c>
      <c r="E45" s="728">
        <f>transport!D18</f>
        <v>9.6788299891359468</v>
      </c>
      <c r="F45" s="728">
        <f>transport!E18</f>
        <v>81.594480180346281</v>
      </c>
      <c r="G45" s="728">
        <f>transport!F18</f>
        <v>0</v>
      </c>
      <c r="H45" s="728">
        <f>transport!G18</f>
        <v>32189.620286823396</v>
      </c>
      <c r="I45" s="728">
        <f>transport!H18</f>
        <v>4663.1902579813104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36948.095474501868</v>
      </c>
    </row>
    <row r="46" spans="1:18" ht="15.75" thickBot="1">
      <c r="A46" s="887" t="s">
        <v>230</v>
      </c>
      <c r="B46" s="900"/>
      <c r="C46" s="764">
        <f t="shared" ref="C46:R46" ca="1" si="5">SUM(C43:C45)</f>
        <v>4.0116195276833642</v>
      </c>
      <c r="D46" s="764">
        <f t="shared" ca="1" si="5"/>
        <v>0</v>
      </c>
      <c r="E46" s="764">
        <f t="shared" si="5"/>
        <v>9.6788299891359468</v>
      </c>
      <c r="F46" s="764">
        <f t="shared" si="5"/>
        <v>81.594480180346281</v>
      </c>
      <c r="G46" s="764">
        <f t="shared" si="5"/>
        <v>0</v>
      </c>
      <c r="H46" s="764">
        <f t="shared" si="5"/>
        <v>32277.333993895441</v>
      </c>
      <c r="I46" s="764">
        <f t="shared" si="5"/>
        <v>4663.1902579813104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37035.80918157391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670.51385003162568</v>
      </c>
      <c r="D48" s="719">
        <f ca="1">+landbouw!C12</f>
        <v>1833.2773109243701</v>
      </c>
      <c r="E48" s="719">
        <f>+landbouw!D12</f>
        <v>0</v>
      </c>
      <c r="F48" s="719">
        <f>+landbouw!E12</f>
        <v>6.7827820810470101</v>
      </c>
      <c r="G48" s="719">
        <f>+landbouw!F12</f>
        <v>2185.3546647604812</v>
      </c>
      <c r="H48" s="719">
        <f>+landbouw!G12</f>
        <v>0</v>
      </c>
      <c r="I48" s="719">
        <f>+landbouw!H12</f>
        <v>0</v>
      </c>
      <c r="J48" s="719">
        <f>+landbouw!I12</f>
        <v>0</v>
      </c>
      <c r="K48" s="719">
        <f>+landbouw!J12</f>
        <v>175.07922811265917</v>
      </c>
      <c r="L48" s="719">
        <f>+landbouw!K12</f>
        <v>0</v>
      </c>
      <c r="M48" s="719">
        <f>+landbouw!L12</f>
        <v>0</v>
      </c>
      <c r="N48" s="719">
        <f>+landbouw!M12</f>
        <v>0</v>
      </c>
      <c r="O48" s="719">
        <f>+landbouw!N12</f>
        <v>0</v>
      </c>
      <c r="P48" s="719">
        <f>+landbouw!O12</f>
        <v>0</v>
      </c>
      <c r="Q48" s="720">
        <f>+landbouw!P12</f>
        <v>0</v>
      </c>
      <c r="R48" s="762">
        <f ca="1">SUM(C48:Q48)</f>
        <v>4871.0078359101844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9781.3428264020258</v>
      </c>
      <c r="D53" s="774">
        <f t="shared" ref="D53:Q53" ca="1" si="6">D41+D46+D48</f>
        <v>1833.2773109243701</v>
      </c>
      <c r="E53" s="774">
        <f t="shared" ca="1" si="6"/>
        <v>18393.931945975804</v>
      </c>
      <c r="F53" s="774">
        <f t="shared" si="6"/>
        <v>1144.8689948013264</v>
      </c>
      <c r="G53" s="774">
        <f t="shared" ca="1" si="6"/>
        <v>6947.6498271096716</v>
      </c>
      <c r="H53" s="774">
        <f t="shared" si="6"/>
        <v>32277.333993895441</v>
      </c>
      <c r="I53" s="774">
        <f t="shared" si="6"/>
        <v>4663.1902579813104</v>
      </c>
      <c r="J53" s="774">
        <f t="shared" si="6"/>
        <v>0</v>
      </c>
      <c r="K53" s="774">
        <f t="shared" si="6"/>
        <v>1004.0671182382309</v>
      </c>
      <c r="L53" s="774">
        <f t="shared" si="6"/>
        <v>0</v>
      </c>
      <c r="M53" s="774">
        <f t="shared" ca="1" si="6"/>
        <v>0</v>
      </c>
      <c r="N53" s="774">
        <f t="shared" si="6"/>
        <v>0</v>
      </c>
      <c r="O53" s="774">
        <f t="shared" ca="1" si="6"/>
        <v>0</v>
      </c>
      <c r="P53" s="774">
        <f>P41+P46+P48</f>
        <v>0</v>
      </c>
      <c r="Q53" s="775">
        <f t="shared" si="6"/>
        <v>0</v>
      </c>
      <c r="R53" s="776">
        <f ca="1">R41+R46+R48</f>
        <v>76045.662275328184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0.20785006351203358</v>
      </c>
      <c r="D55" s="837">
        <f t="shared" ca="1" si="7"/>
        <v>0.23764705882352943</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3206.9004249267437</v>
      </c>
      <c r="C66" s="796">
        <f>'lokale energieproductie'!B6</f>
        <v>3206.9004249267437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5400</v>
      </c>
      <c r="C67" s="795">
        <f>B67*IFERROR(SUM(J67:L67)/SUM(D67:M67),0)</f>
        <v>0</v>
      </c>
      <c r="D67" s="827">
        <f>'lokale energieproductie'!C7</f>
        <v>6352.9411764705892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1283.294117647059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8606.9004249267437</v>
      </c>
      <c r="C69" s="804">
        <f>SUM(C64:C68)</f>
        <v>3206.9004249267437</v>
      </c>
      <c r="D69" s="805">
        <f t="shared" ref="D69:M69" si="8">SUM(D67:D68)</f>
        <v>6352.9411764705892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1283.294117647059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7714.2857142857147</v>
      </c>
      <c r="C78" s="818">
        <f>B78*IFERROR(SUM(I78:L78)/SUM(D78:M78),0)</f>
        <v>0</v>
      </c>
      <c r="D78" s="833">
        <f>'lokale energieproductie'!C16</f>
        <v>9075.630252100842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1833.2773109243701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7714.2857142857147</v>
      </c>
      <c r="C81" s="804">
        <f>SUM(C78:C80)</f>
        <v>0</v>
      </c>
      <c r="D81" s="804">
        <f t="shared" ref="D81:P81" si="9">SUM(D78:D80)</f>
        <v>9075.630252100842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1833.2773109243701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17289.926289202114</v>
      </c>
      <c r="C4" s="479">
        <f>huishoudens!C8</f>
        <v>0</v>
      </c>
      <c r="D4" s="479">
        <f>huishoudens!D8</f>
        <v>26413.678273948815</v>
      </c>
      <c r="E4" s="479">
        <f>huishoudens!E8</f>
        <v>3450.7488187096415</v>
      </c>
      <c r="F4" s="479">
        <f>huishoudens!F8</f>
        <v>9430.5757675231434</v>
      </c>
      <c r="G4" s="479">
        <f>huishoudens!G8</f>
        <v>0</v>
      </c>
      <c r="H4" s="479">
        <f>huishoudens!H8</f>
        <v>0</v>
      </c>
      <c r="I4" s="479">
        <f>huishoudens!I8</f>
        <v>0</v>
      </c>
      <c r="J4" s="479">
        <f>huishoudens!J8</f>
        <v>2247.6328977735011</v>
      </c>
      <c r="K4" s="479">
        <f>huishoudens!K8</f>
        <v>0</v>
      </c>
      <c r="L4" s="479">
        <f>huishoudens!L8</f>
        <v>0</v>
      </c>
      <c r="M4" s="479">
        <f>huishoudens!M8</f>
        <v>0</v>
      </c>
      <c r="N4" s="479">
        <f>huishoudens!N8</f>
        <v>9373.7592611171676</v>
      </c>
      <c r="O4" s="479">
        <f>huishoudens!O8</f>
        <v>240.75333333333336</v>
      </c>
      <c r="P4" s="480">
        <f>huishoudens!P8</f>
        <v>171.6</v>
      </c>
      <c r="Q4" s="481">
        <f>SUM(B4:P4)</f>
        <v>68618.674641607722</v>
      </c>
    </row>
    <row r="5" spans="1:17">
      <c r="A5" s="478" t="s">
        <v>156</v>
      </c>
      <c r="B5" s="479">
        <f ca="1">tertiair!B16</f>
        <v>8114.4845999999998</v>
      </c>
      <c r="C5" s="479">
        <f ca="1">tertiair!C16</f>
        <v>0</v>
      </c>
      <c r="D5" s="479">
        <f ca="1">tertiair!D16</f>
        <v>20529.479891880466</v>
      </c>
      <c r="E5" s="479">
        <f>tertiair!E16</f>
        <v>95.099709867113489</v>
      </c>
      <c r="F5" s="479">
        <f ca="1">tertiair!F16</f>
        <v>1178.9667096744431</v>
      </c>
      <c r="G5" s="479">
        <f>tertiair!G16</f>
        <v>0</v>
      </c>
      <c r="H5" s="479">
        <f>tertiair!H16</f>
        <v>0</v>
      </c>
      <c r="I5" s="479">
        <f>tertiair!I16</f>
        <v>0</v>
      </c>
      <c r="J5" s="479">
        <f>tertiair!J16</f>
        <v>0</v>
      </c>
      <c r="K5" s="479">
        <f>tertiair!K16</f>
        <v>0</v>
      </c>
      <c r="L5" s="479">
        <f ca="1">tertiair!L16</f>
        <v>0</v>
      </c>
      <c r="M5" s="479">
        <f>tertiair!M16</f>
        <v>0</v>
      </c>
      <c r="N5" s="479">
        <f ca="1">tertiair!N16</f>
        <v>464.22403592133611</v>
      </c>
      <c r="O5" s="479">
        <f>tertiair!O16</f>
        <v>0</v>
      </c>
      <c r="P5" s="480">
        <f>tertiair!P16</f>
        <v>19.066666666666666</v>
      </c>
      <c r="Q5" s="478">
        <f t="shared" ref="Q5:Q13" ca="1" si="0">SUM(B5:P5)</f>
        <v>30401.321614010023</v>
      </c>
    </row>
    <row r="6" spans="1:17">
      <c r="A6" s="478" t="s">
        <v>194</v>
      </c>
      <c r="B6" s="479">
        <f>'openbare verlichting'!B8</f>
        <v>541.97390000000007</v>
      </c>
      <c r="C6" s="479"/>
      <c r="D6" s="479"/>
      <c r="E6" s="479"/>
      <c r="F6" s="479"/>
      <c r="G6" s="479"/>
      <c r="H6" s="479"/>
      <c r="I6" s="479"/>
      <c r="J6" s="479"/>
      <c r="K6" s="479"/>
      <c r="L6" s="479"/>
      <c r="M6" s="479"/>
      <c r="N6" s="479"/>
      <c r="O6" s="479"/>
      <c r="P6" s="480"/>
      <c r="Q6" s="478">
        <f t="shared" si="0"/>
        <v>541.97390000000007</v>
      </c>
    </row>
    <row r="7" spans="1:17">
      <c r="A7" s="478" t="s">
        <v>112</v>
      </c>
      <c r="B7" s="479">
        <f>landbouw!B8</f>
        <v>3225.9497000000001</v>
      </c>
      <c r="C7" s="479">
        <f>landbouw!C8</f>
        <v>7714.2857142857147</v>
      </c>
      <c r="D7" s="479">
        <f>landbouw!D8</f>
        <v>0</v>
      </c>
      <c r="E7" s="479">
        <f>landbouw!E8</f>
        <v>29.880097273334844</v>
      </c>
      <c r="F7" s="479">
        <f>landbouw!F8</f>
        <v>8184.8489316871946</v>
      </c>
      <c r="G7" s="479">
        <f>landbouw!G8</f>
        <v>0</v>
      </c>
      <c r="H7" s="479">
        <f>landbouw!H8</f>
        <v>0</v>
      </c>
      <c r="I7" s="479">
        <f>landbouw!I8</f>
        <v>0</v>
      </c>
      <c r="J7" s="479">
        <f>landbouw!J8</f>
        <v>494.57409071372649</v>
      </c>
      <c r="K7" s="479">
        <f>landbouw!K8</f>
        <v>0</v>
      </c>
      <c r="L7" s="479">
        <f>landbouw!L8</f>
        <v>0</v>
      </c>
      <c r="M7" s="479">
        <f>landbouw!M8</f>
        <v>0</v>
      </c>
      <c r="N7" s="479">
        <f>landbouw!N8</f>
        <v>0</v>
      </c>
      <c r="O7" s="479">
        <f>landbouw!O8</f>
        <v>0</v>
      </c>
      <c r="P7" s="480">
        <f>landbouw!P8</f>
        <v>0</v>
      </c>
      <c r="Q7" s="478">
        <f t="shared" si="0"/>
        <v>19649.538533959971</v>
      </c>
    </row>
    <row r="8" spans="1:17">
      <c r="A8" s="478" t="s">
        <v>650</v>
      </c>
      <c r="B8" s="479">
        <f>industrie!B18</f>
        <v>17867.974480000001</v>
      </c>
      <c r="C8" s="479">
        <f>industrie!C18</f>
        <v>0</v>
      </c>
      <c r="D8" s="479">
        <f>industrie!D18</f>
        <v>44067.995873708664</v>
      </c>
      <c r="E8" s="479">
        <f>industrie!E18</f>
        <v>1108.300072920747</v>
      </c>
      <c r="F8" s="479">
        <f>industrie!F18</f>
        <v>7226.7689922750342</v>
      </c>
      <c r="G8" s="479">
        <f>industrie!G18</f>
        <v>0</v>
      </c>
      <c r="H8" s="479">
        <f>industrie!H18</f>
        <v>0</v>
      </c>
      <c r="I8" s="479">
        <f>industrie!I18</f>
        <v>0</v>
      </c>
      <c r="J8" s="479">
        <f>industrie!J18</f>
        <v>94.140803146193463</v>
      </c>
      <c r="K8" s="479">
        <f>industrie!K18</f>
        <v>0</v>
      </c>
      <c r="L8" s="479">
        <f>industrie!L18</f>
        <v>0</v>
      </c>
      <c r="M8" s="479">
        <f>industrie!M18</f>
        <v>0</v>
      </c>
      <c r="N8" s="479">
        <f>industrie!N18</f>
        <v>3886.0854540359869</v>
      </c>
      <c r="O8" s="479">
        <f>industrie!O18</f>
        <v>0</v>
      </c>
      <c r="P8" s="480">
        <f>industrie!P18</f>
        <v>0</v>
      </c>
      <c r="Q8" s="478">
        <f t="shared" si="0"/>
        <v>74251.265676086623</v>
      </c>
    </row>
    <row r="9" spans="1:17" s="484" customFormat="1">
      <c r="A9" s="482" t="s">
        <v>571</v>
      </c>
      <c r="B9" s="483">
        <f>transport!B14</f>
        <v>19.300545113622778</v>
      </c>
      <c r="C9" s="483">
        <f>transport!C14</f>
        <v>0</v>
      </c>
      <c r="D9" s="483">
        <f>transport!D14</f>
        <v>47.914999946217556</v>
      </c>
      <c r="E9" s="483">
        <f>transport!E14</f>
        <v>359.44704925262675</v>
      </c>
      <c r="F9" s="483">
        <f>transport!F14</f>
        <v>0</v>
      </c>
      <c r="G9" s="483">
        <f>transport!G14</f>
        <v>120560.37560608012</v>
      </c>
      <c r="H9" s="483">
        <f>transport!H14</f>
        <v>18727.671718800444</v>
      </c>
      <c r="I9" s="483">
        <f>transport!I14</f>
        <v>0</v>
      </c>
      <c r="J9" s="483">
        <f>transport!J14</f>
        <v>0</v>
      </c>
      <c r="K9" s="483">
        <f>transport!K14</f>
        <v>0</v>
      </c>
      <c r="L9" s="483">
        <f>transport!L14</f>
        <v>0</v>
      </c>
      <c r="M9" s="483">
        <f>transport!M14</f>
        <v>7550.3696342218436</v>
      </c>
      <c r="N9" s="483">
        <f>transport!N14</f>
        <v>0</v>
      </c>
      <c r="O9" s="483">
        <f>transport!O14</f>
        <v>0</v>
      </c>
      <c r="P9" s="483">
        <f>transport!P14</f>
        <v>0</v>
      </c>
      <c r="Q9" s="482">
        <f>SUM(B9:P9)</f>
        <v>147265.07955341486</v>
      </c>
    </row>
    <row r="10" spans="1:17">
      <c r="A10" s="478" t="s">
        <v>561</v>
      </c>
      <c r="B10" s="479">
        <f>transport!B54</f>
        <v>0</v>
      </c>
      <c r="C10" s="479">
        <f>transport!C54</f>
        <v>0</v>
      </c>
      <c r="D10" s="479">
        <f>transport!D54</f>
        <v>0</v>
      </c>
      <c r="E10" s="479">
        <f>transport!E54</f>
        <v>0</v>
      </c>
      <c r="F10" s="479">
        <f>transport!F54</f>
        <v>0</v>
      </c>
      <c r="G10" s="479">
        <f>transport!G54</f>
        <v>328.51575682413403</v>
      </c>
      <c r="H10" s="479">
        <f>transport!H54</f>
        <v>0</v>
      </c>
      <c r="I10" s="479">
        <f>transport!I54</f>
        <v>0</v>
      </c>
      <c r="J10" s="479">
        <f>transport!J54</f>
        <v>0</v>
      </c>
      <c r="K10" s="479">
        <f>transport!K54</f>
        <v>0</v>
      </c>
      <c r="L10" s="479">
        <f>transport!L54</f>
        <v>0</v>
      </c>
      <c r="M10" s="479">
        <f>transport!M54</f>
        <v>18.734295936515849</v>
      </c>
      <c r="N10" s="479">
        <f>transport!N54</f>
        <v>0</v>
      </c>
      <c r="O10" s="479">
        <f>transport!O54</f>
        <v>0</v>
      </c>
      <c r="P10" s="480">
        <f>transport!P54</f>
        <v>0</v>
      </c>
      <c r="Q10" s="478">
        <f t="shared" si="0"/>
        <v>347.25005276064985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47059.609514315736</v>
      </c>
      <c r="C14" s="489">
        <f t="shared" ref="C14:Q14" ca="1" si="1">SUM(C4:C13)</f>
        <v>7714.2857142857147</v>
      </c>
      <c r="D14" s="489">
        <f t="shared" ca="1" si="1"/>
        <v>91059.069039484166</v>
      </c>
      <c r="E14" s="489">
        <f t="shared" si="1"/>
        <v>5043.4757480234639</v>
      </c>
      <c r="F14" s="489">
        <f t="shared" ca="1" si="1"/>
        <v>26021.160401159817</v>
      </c>
      <c r="G14" s="489">
        <f t="shared" si="1"/>
        <v>120888.89136290427</v>
      </c>
      <c r="H14" s="489">
        <f t="shared" si="1"/>
        <v>18727.671718800444</v>
      </c>
      <c r="I14" s="489">
        <f t="shared" si="1"/>
        <v>0</v>
      </c>
      <c r="J14" s="489">
        <f t="shared" si="1"/>
        <v>2836.3477916334209</v>
      </c>
      <c r="K14" s="489">
        <f t="shared" si="1"/>
        <v>0</v>
      </c>
      <c r="L14" s="489">
        <f t="shared" ca="1" si="1"/>
        <v>0</v>
      </c>
      <c r="M14" s="489">
        <f t="shared" si="1"/>
        <v>7569.1039301583596</v>
      </c>
      <c r="N14" s="489">
        <f t="shared" ca="1" si="1"/>
        <v>13724.06875107449</v>
      </c>
      <c r="O14" s="489">
        <f t="shared" si="1"/>
        <v>240.75333333333336</v>
      </c>
      <c r="P14" s="490">
        <f t="shared" si="1"/>
        <v>190.66666666666666</v>
      </c>
      <c r="Q14" s="490">
        <f t="shared" ca="1" si="1"/>
        <v>341075.10397183982</v>
      </c>
    </row>
    <row r="16" spans="1:17">
      <c r="A16" s="492" t="s">
        <v>566</v>
      </c>
      <c r="B16" s="842">
        <f ca="1">huishoudens!B10</f>
        <v>0.20785006351203358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3593.7122773290384</v>
      </c>
      <c r="C21" s="479">
        <f t="shared" ref="C21:C30" ca="1" si="3">C4*$C$16</f>
        <v>0</v>
      </c>
      <c r="D21" s="479">
        <f t="shared" ref="D21:D30" si="4">D4*$D$16</f>
        <v>5335.563011337661</v>
      </c>
      <c r="E21" s="479">
        <f t="shared" ref="E21:E30" si="5">E4*$E$16</f>
        <v>783.31998184708868</v>
      </c>
      <c r="F21" s="479">
        <f t="shared" ref="F21:F30" si="6">F4*$F$16</f>
        <v>2517.9637299286796</v>
      </c>
      <c r="G21" s="479">
        <f t="shared" ref="G21:G30" si="7">G4*$G$16</f>
        <v>0</v>
      </c>
      <c r="H21" s="479">
        <f t="shared" ref="H21:H30" si="8">H4*$H$16</f>
        <v>0</v>
      </c>
      <c r="I21" s="479">
        <f t="shared" ref="I21:I30" si="9">I4*$I$16</f>
        <v>0</v>
      </c>
      <c r="J21" s="479">
        <f t="shared" ref="J21:J30" si="10">J4*$J$16</f>
        <v>795.66204581181933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13026.22104625429</v>
      </c>
    </row>
    <row r="22" spans="1:17">
      <c r="A22" s="478" t="s">
        <v>156</v>
      </c>
      <c r="B22" s="479">
        <f t="shared" ca="1" si="2"/>
        <v>1686.5961394774183</v>
      </c>
      <c r="C22" s="479">
        <f t="shared" ca="1" si="3"/>
        <v>0</v>
      </c>
      <c r="D22" s="479">
        <f t="shared" ca="1" si="4"/>
        <v>4146.9549381598545</v>
      </c>
      <c r="E22" s="479">
        <f t="shared" si="5"/>
        <v>21.587634139834762</v>
      </c>
      <c r="F22" s="479">
        <f t="shared" ca="1" si="6"/>
        <v>314.78411148307634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6169.9228232601836</v>
      </c>
    </row>
    <row r="23" spans="1:17">
      <c r="A23" s="478" t="s">
        <v>194</v>
      </c>
      <c r="B23" s="479">
        <f t="shared" ca="1" si="2"/>
        <v>112.64930953686455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112.64930953686455</v>
      </c>
    </row>
    <row r="24" spans="1:17">
      <c r="A24" s="478" t="s">
        <v>112</v>
      </c>
      <c r="B24" s="479">
        <f t="shared" ca="1" si="2"/>
        <v>670.51385003162568</v>
      </c>
      <c r="C24" s="479">
        <f t="shared" ca="1" si="3"/>
        <v>1833.2773109243701</v>
      </c>
      <c r="D24" s="479">
        <f t="shared" si="4"/>
        <v>0</v>
      </c>
      <c r="E24" s="479">
        <f t="shared" si="5"/>
        <v>6.7827820810470101</v>
      </c>
      <c r="F24" s="479">
        <f t="shared" si="6"/>
        <v>2185.3546647604812</v>
      </c>
      <c r="G24" s="479">
        <f t="shared" si="7"/>
        <v>0</v>
      </c>
      <c r="H24" s="479">
        <f t="shared" si="8"/>
        <v>0</v>
      </c>
      <c r="I24" s="479">
        <f t="shared" si="9"/>
        <v>0</v>
      </c>
      <c r="J24" s="479">
        <f t="shared" si="10"/>
        <v>175.07922811265917</v>
      </c>
      <c r="K24" s="479">
        <f t="shared" si="11"/>
        <v>0</v>
      </c>
      <c r="L24" s="479">
        <f t="shared" si="12"/>
        <v>0</v>
      </c>
      <c r="M24" s="479">
        <f t="shared" si="13"/>
        <v>0</v>
      </c>
      <c r="N24" s="479">
        <f t="shared" si="14"/>
        <v>0</v>
      </c>
      <c r="O24" s="479">
        <f t="shared" si="15"/>
        <v>0</v>
      </c>
      <c r="P24" s="480">
        <f t="shared" si="16"/>
        <v>0</v>
      </c>
      <c r="Q24" s="478">
        <f t="shared" ca="1" si="17"/>
        <v>4871.0078359101844</v>
      </c>
    </row>
    <row r="25" spans="1:17">
      <c r="A25" s="478" t="s">
        <v>650</v>
      </c>
      <c r="B25" s="479">
        <f t="shared" ca="1" si="2"/>
        <v>3713.8596304993953</v>
      </c>
      <c r="C25" s="479">
        <f t="shared" ca="1" si="3"/>
        <v>0</v>
      </c>
      <c r="D25" s="479">
        <f t="shared" si="4"/>
        <v>8901.7351664891503</v>
      </c>
      <c r="E25" s="479">
        <f t="shared" si="5"/>
        <v>251.58411655300958</v>
      </c>
      <c r="F25" s="479">
        <f t="shared" si="6"/>
        <v>1929.5473209374343</v>
      </c>
      <c r="G25" s="479">
        <f t="shared" si="7"/>
        <v>0</v>
      </c>
      <c r="H25" s="479">
        <f t="shared" si="8"/>
        <v>0</v>
      </c>
      <c r="I25" s="479">
        <f t="shared" si="9"/>
        <v>0</v>
      </c>
      <c r="J25" s="479">
        <f t="shared" si="10"/>
        <v>33.325844313752484</v>
      </c>
      <c r="K25" s="479">
        <f t="shared" si="11"/>
        <v>0</v>
      </c>
      <c r="L25" s="479">
        <f t="shared" si="12"/>
        <v>0</v>
      </c>
      <c r="M25" s="479">
        <f t="shared" si="13"/>
        <v>0</v>
      </c>
      <c r="N25" s="479">
        <f t="shared" si="14"/>
        <v>0</v>
      </c>
      <c r="O25" s="479">
        <f t="shared" si="15"/>
        <v>0</v>
      </c>
      <c r="P25" s="480">
        <f t="shared" si="16"/>
        <v>0</v>
      </c>
      <c r="Q25" s="478">
        <f t="shared" ca="1" si="17"/>
        <v>14830.052078792742</v>
      </c>
    </row>
    <row r="26" spans="1:17" s="484" customFormat="1">
      <c r="A26" s="482" t="s">
        <v>571</v>
      </c>
      <c r="B26" s="836">
        <f t="shared" ca="1" si="2"/>
        <v>4.0116195276833642</v>
      </c>
      <c r="C26" s="483">
        <f t="shared" ca="1" si="3"/>
        <v>0</v>
      </c>
      <c r="D26" s="483">
        <f t="shared" si="4"/>
        <v>9.6788299891359468</v>
      </c>
      <c r="E26" s="483">
        <f t="shared" si="5"/>
        <v>81.594480180346281</v>
      </c>
      <c r="F26" s="483">
        <f t="shared" si="6"/>
        <v>0</v>
      </c>
      <c r="G26" s="483">
        <f t="shared" si="7"/>
        <v>32189.620286823396</v>
      </c>
      <c r="H26" s="483">
        <f t="shared" si="8"/>
        <v>4663.1902579813104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36948.095474501868</v>
      </c>
    </row>
    <row r="27" spans="1:17">
      <c r="A27" s="478" t="s">
        <v>561</v>
      </c>
      <c r="B27" s="479">
        <f t="shared" ca="1" si="2"/>
        <v>0</v>
      </c>
      <c r="C27" s="479">
        <f t="shared" ca="1" si="3"/>
        <v>0</v>
      </c>
      <c r="D27" s="479">
        <f t="shared" si="4"/>
        <v>0</v>
      </c>
      <c r="E27" s="479">
        <f t="shared" si="5"/>
        <v>0</v>
      </c>
      <c r="F27" s="479">
        <f t="shared" si="6"/>
        <v>0</v>
      </c>
      <c r="G27" s="479">
        <f t="shared" si="7"/>
        <v>87.713707072043789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87.713707072043789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9781.3428264020258</v>
      </c>
      <c r="C31" s="489">
        <f t="shared" ca="1" si="18"/>
        <v>1833.2773109243701</v>
      </c>
      <c r="D31" s="489">
        <f t="shared" ca="1" si="18"/>
        <v>18393.931945975804</v>
      </c>
      <c r="E31" s="489">
        <f t="shared" si="18"/>
        <v>1144.8689948013262</v>
      </c>
      <c r="F31" s="489">
        <f t="shared" ca="1" si="18"/>
        <v>6947.6498271096716</v>
      </c>
      <c r="G31" s="489">
        <f t="shared" si="18"/>
        <v>32277.333993895441</v>
      </c>
      <c r="H31" s="489">
        <f t="shared" si="18"/>
        <v>4663.1902579813104</v>
      </c>
      <c r="I31" s="489">
        <f t="shared" si="18"/>
        <v>0</v>
      </c>
      <c r="J31" s="489">
        <f t="shared" si="18"/>
        <v>1004.0671182382309</v>
      </c>
      <c r="K31" s="489">
        <f t="shared" si="18"/>
        <v>0</v>
      </c>
      <c r="L31" s="489">
        <f t="shared" ca="1" si="18"/>
        <v>0</v>
      </c>
      <c r="M31" s="489">
        <f t="shared" si="18"/>
        <v>0</v>
      </c>
      <c r="N31" s="489">
        <f t="shared" ca="1" si="18"/>
        <v>0</v>
      </c>
      <c r="O31" s="489">
        <f t="shared" si="18"/>
        <v>0</v>
      </c>
      <c r="P31" s="490">
        <f t="shared" si="18"/>
        <v>0</v>
      </c>
      <c r="Q31" s="490">
        <f t="shared" ca="1" si="18"/>
        <v>76045.662275328184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0.20785006351203358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0.20785006351203358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0.20785006351203358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2018-06-27T09:36:59Z</dcterms:modified>
</cp:coreProperties>
</file>