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R60"/>
  <c r="Q60"/>
  <c r="P60"/>
  <c r="O60"/>
  <c r="C6" i="17" s="1"/>
  <c r="N60" i="18"/>
  <c r="M60"/>
  <c r="W59"/>
  <c r="V59"/>
  <c r="U59"/>
  <c r="T59"/>
  <c r="S59"/>
  <c r="R59"/>
  <c r="Q59"/>
  <c r="P59"/>
  <c r="D13" i="15" s="1"/>
  <c r="O59" i="18"/>
  <c r="C13" i="15" s="1"/>
  <c r="C16" s="1"/>
  <c r="N59" i="18"/>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B8" i="9"/>
  <c r="D6" i="17"/>
  <c r="D8" s="1"/>
  <c r="D12" s="1"/>
  <c r="E48" i="14" s="1"/>
  <c r="I8" i="18"/>
  <c r="J68" i="14" s="1"/>
  <c r="L16" i="16"/>
  <c r="L18" s="1"/>
  <c r="B13"/>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N8" i="17"/>
  <c r="O22" i="14" s="1"/>
  <c r="B35" i="13"/>
  <c r="O22" i="16"/>
  <c r="P39" i="14" s="1"/>
  <c r="O18" i="16"/>
  <c r="B36" i="13"/>
  <c r="G31" i="20"/>
  <c r="H43" i="14" s="1"/>
  <c r="G12" i="22"/>
  <c r="D18" i="16"/>
  <c r="D22" s="1"/>
  <c r="E39" i="14" s="1"/>
  <c r="F22"/>
  <c r="E8" i="17"/>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I7" i="18" l="1"/>
  <c r="J67" i="14" s="1"/>
  <c r="N7" i="48"/>
  <c r="N24" s="1"/>
  <c r="P41" i="14"/>
  <c r="P53" s="1"/>
  <c r="E13"/>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I9" i="18" l="1"/>
  <c r="E5" i="48"/>
  <c r="E22" s="1"/>
  <c r="F10" i="14"/>
  <c r="E15"/>
  <c r="F18" i="16"/>
  <c r="G13" i="14" s="1"/>
  <c r="G15" s="1"/>
  <c r="G23" s="1"/>
  <c r="M16" i="18"/>
  <c r="M19" s="1"/>
  <c r="K10" i="14"/>
  <c r="R10" s="1"/>
  <c r="J18" i="16"/>
  <c r="J22" s="1"/>
  <c r="K39" i="14" s="1"/>
  <c r="K41" s="1"/>
  <c r="K53" s="1"/>
  <c r="Q7" i="48"/>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17" i="19" l="1"/>
  <c r="C19" s="1"/>
  <c r="D35" i="14" s="1"/>
  <c r="C20" i="16"/>
  <c r="C22" s="1"/>
  <c r="D39" i="14" s="1"/>
  <c r="C18" i="15"/>
  <c r="C20" s="1"/>
  <c r="D36" i="14" s="1"/>
  <c r="C10" i="13"/>
  <c r="C16" i="48" s="1"/>
  <c r="C30" s="1"/>
  <c r="C29" i="20"/>
  <c r="C16" i="22"/>
  <c r="C10" i="17"/>
  <c r="C12" s="1"/>
  <c r="D48" i="14" s="1"/>
  <c r="C56" i="22"/>
  <c r="C58" s="1"/>
  <c r="D44" i="14" s="1"/>
  <c r="D46" s="1"/>
  <c r="C17" i="49"/>
  <c r="N31" i="48"/>
  <c r="N14"/>
  <c r="E8"/>
  <c r="O13" i="14"/>
  <c r="O15" s="1"/>
  <c r="K13"/>
  <c r="F8" i="48"/>
  <c r="K15" i="14"/>
  <c r="K23" s="1"/>
  <c r="K55" s="1"/>
  <c r="H55"/>
  <c r="E55"/>
  <c r="C78"/>
  <c r="C81" s="1"/>
  <c r="J14" i="48"/>
  <c r="J31"/>
  <c r="R19" i="14"/>
  <c r="R20" s="1"/>
  <c r="H14" i="48"/>
  <c r="G31"/>
  <c r="H26"/>
  <c r="H31" s="1"/>
  <c r="F55" i="14"/>
  <c r="O53"/>
  <c r="G53"/>
  <c r="G55" s="1"/>
  <c r="O69" s="1"/>
  <c r="B9" i="6" s="1"/>
  <c r="B12" s="1"/>
  <c r="M53" i="14"/>
  <c r="M55" s="1"/>
  <c r="C23" i="48"/>
  <c r="C24"/>
  <c r="C27"/>
  <c r="C22"/>
  <c r="C26"/>
  <c r="R13" i="14"/>
  <c r="R15" s="1"/>
  <c r="F25" i="48"/>
  <c r="F31" s="1"/>
  <c r="F14"/>
  <c r="C28" l="1"/>
  <c r="E25"/>
  <c r="E31" s="1"/>
  <c r="E14"/>
  <c r="C25"/>
  <c r="C31" s="1"/>
  <c r="C29"/>
  <c r="Q8"/>
  <c r="Q14" s="1"/>
  <c r="C2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<sst xmlns="http://schemas.openxmlformats.org/spreadsheetml/2006/main" count="1968" uniqueCount="843">
  <si>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</si>
  <si>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</si>
  <si>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</si>
  <si>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</si>
  <si>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</si>
  <si>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</si>
  <si>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</si>
  <si>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</si>
  <si>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</si>
  <si>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</si>
  <si>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</si>
  <si>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</si>
  <si>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</si>
  <si>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</si>
  <si>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</si>
  <si>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</si>
  <si>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</si>
  <si>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</si>
  <si>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</si>
  <si>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</si>
  <si>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</si>
  <si>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</si>
  <si>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</si>
  <si>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</si>
  <si>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</si>
  <si>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</si>
  <si>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</si>
  <si>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</si>
  <si>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</si>
  <si>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</si>
  <si>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</si>
  <si>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</si>
  <si>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</si>
  <si>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</si>
  <si>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</si>
  <si>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</si>
  <si>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</si>
  <si>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</si>
  <si>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</si>
  <si>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</si>
  <si>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</si>
  <si>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</si>
  <si>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</si>
  <si>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</si>
  <si>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</si>
  <si>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</si>
  <si>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</si>
  <si>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</si>
  <si>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</si>
  <si>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</si>
  <si>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</si>
  <si>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</si>
  <si>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</si>
  <si>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</si>
  <si>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</si>
  <si>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</si>
  <si>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</si>
  <si>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</si>
  <si>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</si>
  <si>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</si>
  <si>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</si>
  <si>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</si>
  <si>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</si>
  <si>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</si>
  <si>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</si>
  <si>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</si>
  <si>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</si>
  <si>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</si>
  <si>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</si>
  <si>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</si>
  <si>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</si>
  <si>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</si>
  <si>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</si>
  <si>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</si>
  <si>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</si>
  <si>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</si>
  <si>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</si>
  <si>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</si>
  <si>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</si>
  <si>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</si>
  <si>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</si>
  <si>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</si>
  <si>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</si>
  <si>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</si>
  <si>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</si>
  <si>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</si>
  <si>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</si>
  <si>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</si>
  <si>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</si>
  <si>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</si>
  <si>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</si>
  <si>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</si>
  <si>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</si>
  <si>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</si>
  <si>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</si>
  <si>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</si>
  <si>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</si>
  <si>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</si>
  <si>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</si>
  <si>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</si>
  <si>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</si>
  <si>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</si>
  <si>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</si>
  <si>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</si>
  <si>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</si>
  <si>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</si>
  <si>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</si>
  <si>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</si>
  <si>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</si>
  <si>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</si>
  <si>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</si>
  <si>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</si>
  <si>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</si>
  <si>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</si>
  <si>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</si>
  <si>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</si>
  <si>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</si>
  <si>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</si>
  <si>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</si>
  <si>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</si>
  <si>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</si>
  <si>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</si>
  <si>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</si>
  <si>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</si>
  <si>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</si>
  <si>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</si>
  <si>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</si>
  <si>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</si>
  <si>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</si>
  <si>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</si>
  <si>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</si>
  <si>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</si>
  <si>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</si>
  <si>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</si>
  <si>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</si>
  <si>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</si>
  <si>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</si>
  <si>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</si>
  <si>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</si>
  <si>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</si>
  <si>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</si>
  <si>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</si>
  <si>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</si>
  <si>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</si>
  <si>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</si>
  <si>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</si>
  <si>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</si>
  <si>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</si>
  <si>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</si>
  <si>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</si>
  <si>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</si>
  <si>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</si>
  <si>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</si>
  <si>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</si>
  <si>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</si>
  <si>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</si>
  <si>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</si>
  <si>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</si>
  <si>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</si>
  <si>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</si>
  <si>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</si>
  <si>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</si>
  <si>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</si>
  <si>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</si>
  <si>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</si>
  <si>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</si>
  <si>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</si>
  <si>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</si>
  <si>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</si>
  <si>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</si>
  <si>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</si>
  <si>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</si>
  <si>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</si>
  <si>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</si>
  <si>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</si>
  <si>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</si>
  <si>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</si>
  <si>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</si>
  <si>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</si>
  <si>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</si>
  <si>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</si>
  <si>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</si>
  <si>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</si>
  <si>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</si>
  <si>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</si>
  <si>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</si>
  <si>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</si>
  <si>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</si>
  <si>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</si>
  <si>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</si>
  <si>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</si>
  <si>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</si>
  <si>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</si>
  <si>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</si>
  <si>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</si>
  <si>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</si>
  <si>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</si>
  <si>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</si>
  <si>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</si>
  <si>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</si>
  <si>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</si>
  <si>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</si>
  <si>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</si>
  <si>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</si>
  <si>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</si>
  <si>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</si>
  <si>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</si>
  <si>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</si>
  <si>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</si>
  <si>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</si>
  <si>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</si>
  <si>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</si>
  <si>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</si>
  <si>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</si>
  <si>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</si>
  <si>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</si>
  <si>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</si>
  <si>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</si>
  <si>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</si>
  <si>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</si>
  <si>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</si>
  <si>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</si>
  <si>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</si>
  <si>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</si>
  <si>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</si>
  <si>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</si>
  <si>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</si>
  <si>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</si>
  <si>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</si>
  <si>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</si>
  <si>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</si>
  <si>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</si>
  <si>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</si>
  <si>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</si>
  <si>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</si>
  <si>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</si>
  <si>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</si>
  <si>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</si>
  <si>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</si>
  <si>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</si>
  <si>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</si>
  <si>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</si>
  <si>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</si>
  <si>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</si>
  <si>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</si>
  <si>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</si>
  <si>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</si>
  <si>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</si>
  <si>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</si>
  <si>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</si>
  <si>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</si>
  <si>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</si>
  <si>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</si>
  <si>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</si>
  <si>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</si>
  <si>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</si>
  <si>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</si>
  <si>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</si>
  <si>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</si>
  <si>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</si>
  <si>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</si>
  <si>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</si>
  <si>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</si>
  <si>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</si>
  <si>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</si>
  <si>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</si>
  <si>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</si>
  <si>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</si>
  <si>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</si>
  <si>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</si>
  <si>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</si>
  <si>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</si>
  <si>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</si>
  <si>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</si>
  <si>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</si>
  <si>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</si>
  <si>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</si>
  <si>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</si>
  <si>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</si>
  <si>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</si>
  <si>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</si>
  <si>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</si>
  <si>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</si>
  <si>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</si>
  <si>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</si>
  <si>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</si>
  <si>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</si>
  <si>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</si>
  <si>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</si>
  <si>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</si>
  <si>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</si>
  <si>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</si>
  <si>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</si>
  <si>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</si>
  <si>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</si>
  <si>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</si>
  <si>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</si>
  <si>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</si>
  <si>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</si>
  <si>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</si>
  <si>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</si>
  <si>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</si>
  <si>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</si>
  <si>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</si>
  <si>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</si>
  <si>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</si>
  <si>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</si>
  <si>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</si>
  <si>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</si>
  <si>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</si>
  <si>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</si>
  <si>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</si>
  <si>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</si>
  <si>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</si>
  <si>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</si>
  <si>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</si>
  <si>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</si>
  <si>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</si>
  <si>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</si>
  <si>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</si>
  <si>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</si>
  <si>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</si>
  <si>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</si>
  <si>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</si>
  <si>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</si>
  <si>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</si>
  <si>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</si>
  <si>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</si>
  <si>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</si>
  <si>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</si>
  <si>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</si>
  <si>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</si>
  <si>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</si>
  <si>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</si>
  <si>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</si>
  <si>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</si>
  <si>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</si>
  <si>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</si>
  <si>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</si>
  <si>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</si>
  <si>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</si>
  <si>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</si>
  <si>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</si>
  <si>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</si>
  <si>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</si>
  <si>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</si>
  <si>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</si>
  <si>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</si>
  <si>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</si>
  <si>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</si>
  <si>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</si>
  <si>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</si>
  <si>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</si>
  <si>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</si>
  <si>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</si>
  <si>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</si>
  <si>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</si>
  <si>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</si>
  <si>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</si>
  <si>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</si>
  <si>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</si>
  <si>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</si>
  <si>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</si>
  <si>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</si>
  <si>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</si>
  <si>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</si>
  <si>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</si>
  <si>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</si>
  <si>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</si>
  <si>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</si>
  <si>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</si>
  <si>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</si>
  <si>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</si>
  <si>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</si>
  <si>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</si>
  <si>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</si>
  <si>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</si>
  <si>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</si>
  <si>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</si>
  <si>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</si>
  <si>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</si>
  <si>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</si>
  <si>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</si>
  <si>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</si>
  <si>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</si>
  <si>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</si>
  <si>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</si>
  <si>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</si>
  <si>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</si>
  <si>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</si>
  <si>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</si>
  <si>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</si>
  <si>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</si>
  <si>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</si>
  <si>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</si>
  <si>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</si>
  <si>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</si>
  <si>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</si>
  <si>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</si>
  <si>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</si>
  <si>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</si>
  <si>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</si>
  <si>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</si>
  <si>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</si>
  <si>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</si>
  <si>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</si>
  <si>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</si>
  <si>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</si>
  <si>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</si>
  <si>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</si>
  <si>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</si>
  <si>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</si>
  <si>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</si>
  <si>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</si>
  <si>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</si>
  <si>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</si>
  <si>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</si>
  <si>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</si>
  <si>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</si>
  <si>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</si>
  <si>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</si>
  <si>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</si>
  <si>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</si>
  <si>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</si>
  <si>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</si>
  <si>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</si>
  <si>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</si>
  <si>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</si>
  <si>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</si>
  <si>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</si>
  <si>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</si>
  <si>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</si>
  <si>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</si>
  <si>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</si>
  <si>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</si>
  <si>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</si>
  <si>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</si>
  <si>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</si>
  <si>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</si>
  <si>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</si>
  <si>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</si>
  <si>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</si>
  <si>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</si>
  <si>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</si>
  <si>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</si>
  <si>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</si>
  <si>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</si>
  <si>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</si>
  <si>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</si>
  <si>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</si>
  <si>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</si>
  <si>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</si>
  <si>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</si>
  <si>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</si>
  <si>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</si>
  <si>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</si>
  <si>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</si>
  <si>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</si>
  <si>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</si>
  <si>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</si>
  <si>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</si>
  <si>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</si>
  <si>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</si>
  <si>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</si>
  <si>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</si>
  <si>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</si>
  <si>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</si>
  <si>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</si>
  <si>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</si>
  <si>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</si>
  <si>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</si>
  <si>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</si>
  <si>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</si>
  <si>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</si>
  <si>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</si>
  <si>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</si>
  <si>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</si>
  <si>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</si>
  <si>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</si>
  <si>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</si>
  <si>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</si>
  <si>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</si>
  <si>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</si>
  <si>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</si>
  <si>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</si>
  <si>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</si>
  <si>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</si>
  <si>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</si>
  <si>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</si>
  <si>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</si>
  <si>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</si>
  <si>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</si>
  <si>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</si>
  <si>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</si>
  <si>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</si>
  <si>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</si>
  <si>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</si>
  <si>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</si>
  <si>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</si>
  <si>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</si>
  <si>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</si>
  <si>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</si>
  <si>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</si>
  <si>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</si>
  <si>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</si>
  <si>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</si>
  <si>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</si>
  <si>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</si>
  <si>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</si>
  <si>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</si>
  <si>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</si>
  <si>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</si>
  <si>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</si>
  <si>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</si>
  <si>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</si>
  <si>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</si>
  <si>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</si>
  <si>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</si>
  <si>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</si>
  <si>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</si>
  <si>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</si>
  <si>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</si>
  <si>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</si>
  <si>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</si>
  <si>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</si>
  <si>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</si>
  <si>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</si>
  <si>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</si>
  <si>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</si>
  <si>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</si>
  <si>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</si>
  <si>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</si>
  <si>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</si>
  <si>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</si>
  <si>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</si>
  <si>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</si>
  <si>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</si>
  <si>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</si>
  <si>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</si>
  <si>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</si>
  <si>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</si>
  <si>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</si>
  <si>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</si>
  <si>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</si>
  <si>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</si>
  <si>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</si>
  <si>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</si>
  <si>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</si>
  <si>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</si>
  <si>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</si>
  <si>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</si>
  <si>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</si>
  <si>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</si>
  <si>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</si>
  <si>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</si>
  <si>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</si>
  <si>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</si>
  <si>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</si>
  <si>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</si>
  <si>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</si>
  <si>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</si>
  <si>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</si>
  <si>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</si>
  <si>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</si>
  <si>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</si>
  <si>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</si>
  <si>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</si>
  <si>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</si>
  <si>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</si>
  <si>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</si>
  <si>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</si>
  <si>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</si>
  <si>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</si>
  <si>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</si>
  <si>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</si>
  <si>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</si>
  <si>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</si>
  <si>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</si>
  <si>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</si>
  <si>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</si>
  <si>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</si>
  <si>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</si>
  <si>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</si>
  <si>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</si>
  <si>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</si>
  <si>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</si>
  <si>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</si>
  <si>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</si>
  <si>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</si>
  <si>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</si>
  <si>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</si>
  <si>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</si>
  <si>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</si>
  <si>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</si>
  <si>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</si>
  <si>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</si>
  <si>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</si>
  <si>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</si>
  <si>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</si>
  <si>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</si>
  <si>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</si>
  <si>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</si>
  <si>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</si>
  <si>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</si>
  <si>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</si>
  <si>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</si>
  <si>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</si>
  <si>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</si>
  <si>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</si>
  <si>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</si>
  <si>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</si>
  <si>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</si>
  <si>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</si>
  <si>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</si>
  <si>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</si>
  <si>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</si>
  <si>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</si>
  <si>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</si>
  <si>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</si>
  <si>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</si>
  <si>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</si>
  <si>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</si>
  <si>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</si>
  <si>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</si>
  <si>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</si>
  <si>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</si>
  <si>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</si>
  <si>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</si>
  <si>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</si>
  <si>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</si>
  <si>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</si>
  <si>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</si>
  <si>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</si>
  <si>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</si>
  <si>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</si>
  <si>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</si>
  <si>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</si>
  <si>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</si>
  <si>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</si>
  <si>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</si>
  <si>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</si>
  <si>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</si>
  <si>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</si>
  <si>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</si>
  <si>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</si>
  <si>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</si>
  <si>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</si>
  <si>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</si>
  <si>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</si>
  <si>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</si>
  <si>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</si>
  <si>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</si>
  <si>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</si>
  <si>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</si>
  <si>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</si>
  <si>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</si>
  <si>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</si>
  <si>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</si>
  <si>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</si>
  <si>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</si>
  <si>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</si>
  <si>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</si>
  <si>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</si>
  <si>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</si>
  <si>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</si>
  <si>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</si>
  <si>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</si>
  <si>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</si>
  <si>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</si>
  <si>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</si>
  <si>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</si>
  <si>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</si>
  <si>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</si>
  <si>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</si>
  <si>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</si>
  <si>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</si>
  <si>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</si>
  <si>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</si>
  <si>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</si>
  <si>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</si>
  <si>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</si>
  <si>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</si>
  <si>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</si>
  <si>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</si>
  <si>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</si>
  <si>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</si>
  <si>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</si>
  <si>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</si>
  <si>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</si>
  <si>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</si>
  <si>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</si>
  <si>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</si>
  <si>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</si>
  <si>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</si>
  <si>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</si>
  <si>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</si>
  <si>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</si>
  <si>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</si>
  <si>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</si>
  <si>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</si>
  <si>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</si>
  <si>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</si>
  <si>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</si>
  <si>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</si>
  <si>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</si>
  <si>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</si>
  <si>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</si>
  <si>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</si>
  <si>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</si>
  <si>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</si>
  <si>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</si>
  <si>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</si>
  <si>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</si>
  <si>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</si>
  <si>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</si>
  <si>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</si>
  <si>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</si>
  <si>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</si>
  <si>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</si>
  <si>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</si>
  <si>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</si>
  <si>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</si>
  <si>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</si>
  <si>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</si>
  <si>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</si>
  <si>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</si>
  <si>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</si>
  <si>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</si>
  <si>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</si>
  <si>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</si>
  <si>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</si>
  <si>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</si>
  <si>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</si>
  <si>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</si>
  <si>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</si>
  <si>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</si>
  <si>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</si>
  <si>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</si>
  <si>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</si>
  <si>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</si>
  <si>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</si>
  <si>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</si>
  <si>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</si>
  <si>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</si>
  <si>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</si>
  <si>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</si>
  <si>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</si>
  <si>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</si>
  <si>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</si>
  <si>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</si>
  <si>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</si>
  <si>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</si>
  <si>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</si>
  <si>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</si>
  <si>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</si>
  <si>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</si>
  <si>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</si>
  <si>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</si>
  <si>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</si>
  <si>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</si>
  <si>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</si>
  <si>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</si>
  <si>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</si>
  <si>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</si>
  <si>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</si>
  <si>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</si>
  <si>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</si>
  <si>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</si>
  <si>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</si>
  <si>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</si>
  <si>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</si>
  <si>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</si>
  <si>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</si>
  <si>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</si>
  <si>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</si>
  <si>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</si>
  <si>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</si>
  <si>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</si>
  <si>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</si>
  <si>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</si>
  <si>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</si>
  <si>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</si>
  <si>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</si>
  <si>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</si>
  <si>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</si>
  <si>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</si>
  <si>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</si>
  <si>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</si>
  <si>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</si>
  <si>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</si>
  <si>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</si>
  <si>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</si>
  <si>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</si>
  <si>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</si>
  <si>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</si>
  <si>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</si>
  <si>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</si>
  <si>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</si>
  <si>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</si>
  <si>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</si>
  <si>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</si>
  <si>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</si>
  <si>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</si>
  <si>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</si>
  <si>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</si>
  <si>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</si>
  <si>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</si>
  <si>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</si>
  <si>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</si>
  <si>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</si>
  <si>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</si>
  <si>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</si>
  <si>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</si>
  <si>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</si>
  <si>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</si>
  <si>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</si>
  <si>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</si>
  <si>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</si>
  <si>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</si>
  <si>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</si>
  <si>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</si>
  <si>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</si>
  <si>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</si>
  <si>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</si>
  <si>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</si>
  <si>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</si>
  <si>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36007</t>
  </si>
  <si>
    <t>INGELMUNSTER</t>
  </si>
  <si>
    <t>Paarden&amp;pony's 200 - 600 kg</t>
  </si>
  <si>
    <t>Paarden&amp;pony's &lt; 200 kg</t>
  </si>
  <si>
    <t>referentietaak LNE (2017); Jaarverslag De Lijn (2014)</t>
  </si>
  <si>
    <t>op basis van VEA (maart 2018) en Inventaris Hernieuwbare Energiebronnen (juni 2018)</t>
  </si>
  <si>
    <t>VEA (maart 2016)</t>
  </si>
  <si>
    <t>VEA (juni 2018)</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</si>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</sst>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82658.986918297582</c:v>
                </c:pt>
                <c:pt idx="1">
                  <c:v>24245.463929423797</c:v>
                </c:pt>
                <c:pt idx="2">
                  <c:v>878.48</c:v>
                </c:pt>
                <c:pt idx="3">
                  <c:v>43810.930377719436</c:v>
                </c:pt>
                <c:pt idx="4">
                  <c:v>60038.599698226091</c:v>
                </c:pt>
                <c:pt idx="5">
                  <c:v>50958.147002333455</c:v>
                </c:pt>
                <c:pt idx="6">
                  <c:v>616.3362625623264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82658.986918297582</c:v>
                </c:pt>
                <c:pt idx="1">
                  <c:v>24245.463929423797</c:v>
                </c:pt>
                <c:pt idx="2">
                  <c:v>878.48</c:v>
                </c:pt>
                <c:pt idx="3">
                  <c:v>43810.930377719436</c:v>
                </c:pt>
                <c:pt idx="4">
                  <c:v>60038.599698226091</c:v>
                </c:pt>
                <c:pt idx="5">
                  <c:v>50958.147002333455</c:v>
                </c:pt>
                <c:pt idx="6">
                  <c:v>616.3362625623264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15739.247622606992</c:v>
                </c:pt>
                <c:pt idx="1">
                  <c:v>4997.4461457596954</c:v>
                </c:pt>
                <c:pt idx="2">
                  <c:v>187.84098440313298</c:v>
                </c:pt>
                <c:pt idx="3">
                  <c:v>10640.536938957297</c:v>
                </c:pt>
                <c:pt idx="4">
                  <c:v>12266.957144189348</c:v>
                </c:pt>
                <c:pt idx="5">
                  <c:v>12785.634953199295</c:v>
                </c:pt>
                <c:pt idx="6">
                  <c:v>155.68360022549243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15739.247622606992</c:v>
                </c:pt>
                <c:pt idx="1">
                  <c:v>4997.4461457596954</c:v>
                </c:pt>
                <c:pt idx="2">
                  <c:v>187.84098440313298</c:v>
                </c:pt>
                <c:pt idx="3">
                  <c:v>10640.536938957297</c:v>
                </c:pt>
                <c:pt idx="4">
                  <c:v>12266.957144189348</c:v>
                </c:pt>
                <c:pt idx="5">
                  <c:v>12785.634953199295</c:v>
                </c:pt>
                <c:pt idx="6">
                  <c:v>155.68360022549243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36007</v>
      </c>
      <c r="B6" s="416"/>
      <c r="C6" s="417"/>
    </row>
    <row r="7" spans="1:7" s="414" customFormat="1" ht="15.75" customHeight="1">
      <c r="A7" s="418" t="str">
        <f>txtMunicipality</f>
        <v>INGELMUNSTER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4451</v>
      </c>
      <c r="C9" s="342">
        <v>4485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757</v>
      </c>
    </row>
    <row r="15" spans="1:6">
      <c r="A15" s="348" t="s">
        <v>184</v>
      </c>
      <c r="B15" s="334">
        <v>535</v>
      </c>
    </row>
    <row r="16" spans="1:6">
      <c r="A16" s="348" t="s">
        <v>6</v>
      </c>
      <c r="B16" s="334">
        <v>105</v>
      </c>
    </row>
    <row r="17" spans="1:6">
      <c r="A17" s="348" t="s">
        <v>7</v>
      </c>
      <c r="B17" s="334">
        <v>84</v>
      </c>
    </row>
    <row r="18" spans="1:6">
      <c r="A18" s="348" t="s">
        <v>8</v>
      </c>
      <c r="B18" s="334">
        <v>157</v>
      </c>
    </row>
    <row r="19" spans="1:6">
      <c r="A19" s="348" t="s">
        <v>9</v>
      </c>
      <c r="B19" s="334">
        <v>212</v>
      </c>
    </row>
    <row r="20" spans="1:6">
      <c r="A20" s="348" t="s">
        <v>10</v>
      </c>
      <c r="B20" s="334">
        <v>130</v>
      </c>
    </row>
    <row r="21" spans="1:6">
      <c r="A21" s="348" t="s">
        <v>11</v>
      </c>
      <c r="B21" s="334">
        <v>1245</v>
      </c>
    </row>
    <row r="22" spans="1:6">
      <c r="A22" s="348" t="s">
        <v>12</v>
      </c>
      <c r="B22" s="334">
        <v>6968</v>
      </c>
    </row>
    <row r="23" spans="1:6">
      <c r="A23" s="348" t="s">
        <v>13</v>
      </c>
      <c r="B23" s="334">
        <v>57</v>
      </c>
    </row>
    <row r="24" spans="1:6">
      <c r="A24" s="348" t="s">
        <v>14</v>
      </c>
      <c r="B24" s="334">
        <v>4</v>
      </c>
    </row>
    <row r="25" spans="1:6">
      <c r="A25" s="348" t="s">
        <v>15</v>
      </c>
      <c r="B25" s="334">
        <v>338</v>
      </c>
    </row>
    <row r="26" spans="1:6">
      <c r="A26" s="348" t="s">
        <v>16</v>
      </c>
      <c r="B26" s="334">
        <v>25</v>
      </c>
    </row>
    <row r="27" spans="1:6">
      <c r="A27" s="348" t="s">
        <v>17</v>
      </c>
      <c r="B27" s="334">
        <v>0</v>
      </c>
    </row>
    <row r="28" spans="1:6" s="356" customFormat="1">
      <c r="A28" s="355" t="s">
        <v>18</v>
      </c>
      <c r="B28" s="355">
        <v>77749</v>
      </c>
    </row>
    <row r="29" spans="1:6">
      <c r="A29" s="355" t="s">
        <v>828</v>
      </c>
      <c r="B29" s="355">
        <v>87</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21589.82</v>
      </c>
    </row>
    <row r="37" spans="1:6">
      <c r="A37" s="348" t="s">
        <v>25</v>
      </c>
      <c r="B37" s="348" t="s">
        <v>28</v>
      </c>
      <c r="C37" s="334">
        <v>0</v>
      </c>
      <c r="D37" s="334">
        <v>0</v>
      </c>
      <c r="E37" s="334">
        <v>0</v>
      </c>
      <c r="F37" s="334">
        <v>0</v>
      </c>
    </row>
    <row r="38" spans="1:6">
      <c r="A38" s="348" t="s">
        <v>25</v>
      </c>
      <c r="B38" s="348" t="s">
        <v>29</v>
      </c>
      <c r="C38" s="334">
        <v>1</v>
      </c>
      <c r="D38" s="334">
        <v>0</v>
      </c>
      <c r="E38" s="334">
        <v>3</v>
      </c>
      <c r="F38" s="334">
        <v>294077</v>
      </c>
    </row>
    <row r="39" spans="1:6">
      <c r="A39" s="348" t="s">
        <v>30</v>
      </c>
      <c r="B39" s="348" t="s">
        <v>31</v>
      </c>
      <c r="C39" s="334">
        <v>2982</v>
      </c>
      <c r="D39" s="334">
        <v>41955982.103702702</v>
      </c>
      <c r="E39" s="334">
        <v>4229</v>
      </c>
      <c r="F39" s="334">
        <v>15962959</v>
      </c>
    </row>
    <row r="40" spans="1:6">
      <c r="A40" s="348" t="s">
        <v>30</v>
      </c>
      <c r="B40" s="348" t="s">
        <v>29</v>
      </c>
      <c r="C40" s="334">
        <v>0</v>
      </c>
      <c r="D40" s="334">
        <v>0</v>
      </c>
      <c r="E40" s="334">
        <v>0</v>
      </c>
      <c r="F40" s="334">
        <v>0</v>
      </c>
    </row>
    <row r="41" spans="1:6">
      <c r="A41" s="348" t="s">
        <v>32</v>
      </c>
      <c r="B41" s="348" t="s">
        <v>33</v>
      </c>
      <c r="C41" s="334">
        <v>68</v>
      </c>
      <c r="D41" s="334">
        <v>1608202.3100557299</v>
      </c>
      <c r="E41" s="334">
        <v>162</v>
      </c>
      <c r="F41" s="334">
        <v>2400494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173532.19301191001</v>
      </c>
      <c r="E44" s="334">
        <v>20</v>
      </c>
      <c r="F44" s="334">
        <v>393155.7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10514332.370444899</v>
      </c>
      <c r="E48" s="334">
        <v>38</v>
      </c>
      <c r="F48" s="334">
        <v>9515982</v>
      </c>
    </row>
    <row r="49" spans="1:6">
      <c r="A49" s="348" t="s">
        <v>32</v>
      </c>
      <c r="B49" s="348" t="s">
        <v>40</v>
      </c>
      <c r="C49" s="334">
        <v>0</v>
      </c>
      <c r="D49" s="334">
        <v>0</v>
      </c>
      <c r="E49" s="334">
        <v>23</v>
      </c>
      <c r="F49" s="334">
        <v>826165.1</v>
      </c>
    </row>
    <row r="50" spans="1:6">
      <c r="A50" s="348" t="s">
        <v>32</v>
      </c>
      <c r="B50" s="348" t="s">
        <v>41</v>
      </c>
      <c r="C50" s="334">
        <v>6</v>
      </c>
      <c r="D50" s="334">
        <v>7401725.6102727298</v>
      </c>
      <c r="E50" s="334">
        <v>12</v>
      </c>
      <c r="F50" s="334">
        <v>6125800</v>
      </c>
    </row>
    <row r="51" spans="1:6">
      <c r="A51" s="348" t="s">
        <v>42</v>
      </c>
      <c r="B51" s="348" t="s">
        <v>43</v>
      </c>
      <c r="C51" s="334">
        <v>12</v>
      </c>
      <c r="D51" s="334">
        <v>25606189.975540899</v>
      </c>
      <c r="E51" s="334">
        <v>65</v>
      </c>
      <c r="F51" s="334">
        <v>2991570</v>
      </c>
    </row>
    <row r="52" spans="1:6">
      <c r="A52" s="348" t="s">
        <v>42</v>
      </c>
      <c r="B52" s="348" t="s">
        <v>29</v>
      </c>
      <c r="C52" s="334">
        <v>4</v>
      </c>
      <c r="D52" s="334">
        <v>18679289.768803701</v>
      </c>
      <c r="E52" s="334">
        <v>9</v>
      </c>
      <c r="F52" s="334">
        <v>356771.4</v>
      </c>
    </row>
    <row r="53" spans="1:6">
      <c r="A53" s="348" t="s">
        <v>44</v>
      </c>
      <c r="B53" s="348" t="s">
        <v>45</v>
      </c>
      <c r="C53" s="334">
        <v>77</v>
      </c>
      <c r="D53" s="334">
        <v>1458000.3091643101</v>
      </c>
      <c r="E53" s="334">
        <v>118</v>
      </c>
      <c r="F53" s="334">
        <v>707223.2</v>
      </c>
    </row>
    <row r="54" spans="1:6">
      <c r="A54" s="348" t="s">
        <v>46</v>
      </c>
      <c r="B54" s="348" t="s">
        <v>47</v>
      </c>
      <c r="C54" s="334">
        <v>0</v>
      </c>
      <c r="D54" s="334">
        <v>0</v>
      </c>
      <c r="E54" s="334">
        <v>1</v>
      </c>
      <c r="F54" s="334">
        <v>878480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379173.20245908201</v>
      </c>
      <c r="E57" s="334">
        <v>33</v>
      </c>
      <c r="F57" s="334">
        <v>507958.8</v>
      </c>
    </row>
    <row r="58" spans="1:6">
      <c r="A58" s="348" t="s">
        <v>49</v>
      </c>
      <c r="B58" s="348" t="s">
        <v>51</v>
      </c>
      <c r="C58" s="334">
        <v>20</v>
      </c>
      <c r="D58" s="334">
        <v>1689587.0200535399</v>
      </c>
      <c r="E58" s="334">
        <v>20</v>
      </c>
      <c r="F58" s="334">
        <v>695087.4</v>
      </c>
    </row>
    <row r="59" spans="1:6">
      <c r="A59" s="348" t="s">
        <v>49</v>
      </c>
      <c r="B59" s="348" t="s">
        <v>52</v>
      </c>
      <c r="C59" s="334">
        <v>48</v>
      </c>
      <c r="D59" s="334">
        <v>1585095.9317781001</v>
      </c>
      <c r="E59" s="334">
        <v>132</v>
      </c>
      <c r="F59" s="334">
        <v>4217626</v>
      </c>
    </row>
    <row r="60" spans="1:6">
      <c r="A60" s="348" t="s">
        <v>49</v>
      </c>
      <c r="B60" s="348" t="s">
        <v>53</v>
      </c>
      <c r="C60" s="334">
        <v>23</v>
      </c>
      <c r="D60" s="334">
        <v>966289.93220256804</v>
      </c>
      <c r="E60" s="334">
        <v>41</v>
      </c>
      <c r="F60" s="334">
        <v>861918.9</v>
      </c>
    </row>
    <row r="61" spans="1:6">
      <c r="A61" s="348" t="s">
        <v>49</v>
      </c>
      <c r="B61" s="348" t="s">
        <v>54</v>
      </c>
      <c r="C61" s="334">
        <v>61</v>
      </c>
      <c r="D61" s="334">
        <v>2397219.6990386499</v>
      </c>
      <c r="E61" s="334">
        <v>150</v>
      </c>
      <c r="F61" s="334">
        <v>1561555</v>
      </c>
    </row>
    <row r="62" spans="1:6">
      <c r="A62" s="348" t="s">
        <v>49</v>
      </c>
      <c r="B62" s="348" t="s">
        <v>55</v>
      </c>
      <c r="C62" s="334">
        <v>7</v>
      </c>
      <c r="D62" s="334">
        <v>615781.92031555204</v>
      </c>
      <c r="E62" s="334">
        <v>9</v>
      </c>
      <c r="F62" s="334">
        <v>100404.5</v>
      </c>
    </row>
    <row r="63" spans="1:6">
      <c r="A63" s="348" t="s">
        <v>49</v>
      </c>
      <c r="B63" s="348" t="s">
        <v>29</v>
      </c>
      <c r="C63" s="334">
        <v>80</v>
      </c>
      <c r="D63" s="334">
        <v>3031744.4912233301</v>
      </c>
      <c r="E63" s="334">
        <v>100</v>
      </c>
      <c r="F63" s="334">
        <v>4047892</v>
      </c>
    </row>
    <row r="64" spans="1:6">
      <c r="A64" s="348" t="s">
        <v>56</v>
      </c>
      <c r="B64" s="348" t="s">
        <v>57</v>
      </c>
      <c r="C64" s="334">
        <v>0</v>
      </c>
      <c r="D64" s="334">
        <v>0</v>
      </c>
      <c r="E64" s="334">
        <v>0</v>
      </c>
      <c r="F64" s="334">
        <v>0</v>
      </c>
    </row>
    <row r="65" spans="1:6">
      <c r="A65" s="348" t="s">
        <v>56</v>
      </c>
      <c r="B65" s="348" t="s">
        <v>29</v>
      </c>
      <c r="C65" s="334">
        <v>1</v>
      </c>
      <c r="D65" s="334">
        <v>21805.9749556918</v>
      </c>
      <c r="E65" s="334">
        <v>1</v>
      </c>
      <c r="F65" s="334">
        <v>5683.4089999999997</v>
      </c>
    </row>
    <row r="66" spans="1:6">
      <c r="A66" s="348" t="s">
        <v>56</v>
      </c>
      <c r="B66" s="348" t="s">
        <v>58</v>
      </c>
      <c r="C66" s="334">
        <v>0</v>
      </c>
      <c r="D66" s="334">
        <v>0</v>
      </c>
      <c r="E66" s="334">
        <v>10</v>
      </c>
      <c r="F66" s="334">
        <v>158726.79999999999</v>
      </c>
    </row>
    <row r="67" spans="1:6">
      <c r="A67" s="355" t="s">
        <v>56</v>
      </c>
      <c r="B67" s="355" t="s">
        <v>59</v>
      </c>
      <c r="C67" s="334">
        <v>0</v>
      </c>
      <c r="D67" s="334">
        <v>0</v>
      </c>
      <c r="E67" s="334">
        <v>0</v>
      </c>
      <c r="F67" s="334">
        <v>0</v>
      </c>
    </row>
    <row r="68" spans="1:6">
      <c r="A68" s="341" t="s">
        <v>56</v>
      </c>
      <c r="B68" s="341" t="s">
        <v>60</v>
      </c>
      <c r="C68" s="334">
        <v>4</v>
      </c>
      <c r="D68" s="334">
        <v>252609.150640184</v>
      </c>
      <c r="E68" s="334">
        <v>9</v>
      </c>
      <c r="F68" s="334">
        <v>105599.7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40724987</v>
      </c>
      <c r="E73" s="477">
        <v>39153589.459609307</v>
      </c>
    </row>
    <row r="74" spans="1:6">
      <c r="A74" s="348" t="s">
        <v>64</v>
      </c>
      <c r="B74" s="348" t="s">
        <v>714</v>
      </c>
      <c r="C74" s="1229" t="s">
        <v>716</v>
      </c>
      <c r="D74" s="477">
        <v>6596273.1179469768</v>
      </c>
      <c r="E74" s="477">
        <v>6397176.8835707316</v>
      </c>
    </row>
    <row r="75" spans="1:6">
      <c r="A75" s="348" t="s">
        <v>65</v>
      </c>
      <c r="B75" s="348" t="s">
        <v>713</v>
      </c>
      <c r="C75" s="1229" t="s">
        <v>717</v>
      </c>
      <c r="D75" s="477">
        <v>7467341</v>
      </c>
      <c r="E75" s="477">
        <v>7347379.3179310625</v>
      </c>
    </row>
    <row r="76" spans="1:6">
      <c r="A76" s="348" t="s">
        <v>65</v>
      </c>
      <c r="B76" s="348" t="s">
        <v>714</v>
      </c>
      <c r="C76" s="1229" t="s">
        <v>718</v>
      </c>
      <c r="D76" s="477">
        <v>694163.11794697691</v>
      </c>
      <c r="E76" s="477">
        <v>685258.53610233951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164699.76410604609</v>
      </c>
      <c r="C83" s="477">
        <v>166105.7196016942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2157.2455002531556</v>
      </c>
    </row>
    <row r="92" spans="1:6">
      <c r="A92" s="341" t="s">
        <v>69</v>
      </c>
      <c r="B92" s="342">
        <v>1240.0569305964507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2052</v>
      </c>
    </row>
    <row r="98" spans="1:6">
      <c r="A98" s="348" t="s">
        <v>72</v>
      </c>
      <c r="B98" s="334">
        <v>2</v>
      </c>
    </row>
    <row r="99" spans="1:6">
      <c r="A99" s="348" t="s">
        <v>73</v>
      </c>
      <c r="B99" s="334">
        <v>59</v>
      </c>
    </row>
    <row r="100" spans="1:6">
      <c r="A100" s="348" t="s">
        <v>74</v>
      </c>
      <c r="B100" s="334">
        <v>288</v>
      </c>
    </row>
    <row r="101" spans="1:6">
      <c r="A101" s="348" t="s">
        <v>75</v>
      </c>
      <c r="B101" s="334">
        <v>90</v>
      </c>
    </row>
    <row r="102" spans="1:6">
      <c r="A102" s="348" t="s">
        <v>76</v>
      </c>
      <c r="B102" s="334">
        <v>91</v>
      </c>
    </row>
    <row r="103" spans="1:6">
      <c r="A103" s="348" t="s">
        <v>77</v>
      </c>
      <c r="B103" s="334">
        <v>141</v>
      </c>
    </row>
    <row r="104" spans="1:6">
      <c r="A104" s="348" t="s">
        <v>78</v>
      </c>
      <c r="B104" s="334">
        <v>1324</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53607.670228495335</v>
      </c>
      <c r="C3" s="43" t="s">
        <v>170</v>
      </c>
      <c r="D3" s="43"/>
      <c r="E3" s="154"/>
      <c r="F3" s="43"/>
      <c r="G3" s="43"/>
      <c r="H3" s="43"/>
      <c r="I3" s="43"/>
      <c r="J3" s="43"/>
      <c r="K3" s="96"/>
    </row>
    <row r="4" spans="1:11">
      <c r="A4" s="384" t="s">
        <v>171</v>
      </c>
      <c r="B4" s="49">
        <f>IF(ISERROR('SEAP template'!B69),0,'SEAP template'!B69)</f>
        <v>25393.302430849606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5227.2847058823536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0.2138249981822386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7467.5495798319334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31422.857142857145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878.48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878.48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0.2138249981822386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187.84098440313298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15962.959000000001</v>
      </c>
      <c r="C5" s="17">
        <f>IF(ISERROR('Eigen informatie GS &amp; warmtenet'!B57),0,'Eigen informatie GS &amp; warmtenet'!B57)</f>
        <v>0</v>
      </c>
      <c r="D5" s="30">
        <f>(SUM(HH_hh_gas_kWh,HH_rest_gas_kWh)/1000)*0.902</f>
        <v>37844.295857539837</v>
      </c>
      <c r="E5" s="17">
        <f>B46*B57</f>
        <v>1857.3114688852875</v>
      </c>
      <c r="F5" s="17">
        <f>B51*B62</f>
        <v>11988.228657749336</v>
      </c>
      <c r="G5" s="18"/>
      <c r="H5" s="17"/>
      <c r="I5" s="17"/>
      <c r="J5" s="17">
        <f>B50*B61+C50*C61</f>
        <v>1688.3627401115505</v>
      </c>
      <c r="K5" s="17"/>
      <c r="L5" s="17"/>
      <c r="M5" s="17"/>
      <c r="N5" s="17">
        <f>B48*B59+C48*C59</f>
        <v>10744.183693758403</v>
      </c>
      <c r="O5" s="17">
        <f>B69*B70*B71</f>
        <v>187.6</v>
      </c>
      <c r="P5" s="17">
        <f>B77*B78*B79/1000-B77*B78*B79/1000/B80</f>
        <v>228.8</v>
      </c>
    </row>
    <row r="6" spans="1:16">
      <c r="A6" s="16" t="s">
        <v>631</v>
      </c>
      <c r="B6" s="844">
        <f>kWh_PV_kleiner_dan_10kW</f>
        <v>2157.2455002531556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18120.204500253156</v>
      </c>
      <c r="C8" s="21">
        <f>C5</f>
        <v>0</v>
      </c>
      <c r="D8" s="21">
        <f>D5</f>
        <v>37844.295857539837</v>
      </c>
      <c r="E8" s="21">
        <f>E5</f>
        <v>1857.3114688852875</v>
      </c>
      <c r="F8" s="21">
        <f>F5</f>
        <v>11988.228657749336</v>
      </c>
      <c r="G8" s="21"/>
      <c r="H8" s="21"/>
      <c r="I8" s="21"/>
      <c r="J8" s="21">
        <f>J5</f>
        <v>1688.3627401115505</v>
      </c>
      <c r="K8" s="21"/>
      <c r="L8" s="21">
        <f>L5</f>
        <v>0</v>
      </c>
      <c r="M8" s="21">
        <f>M5</f>
        <v>0</v>
      </c>
      <c r="N8" s="21">
        <f>N5</f>
        <v>10744.183693758403</v>
      </c>
      <c r="O8" s="21">
        <f>O5</f>
        <v>187.6</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0.2138249981822386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3874.5526943284226</v>
      </c>
      <c r="C12" s="23">
        <f ca="1">C10*C8</f>
        <v>0</v>
      </c>
      <c r="D12" s="23">
        <f>D8*D10</f>
        <v>7644.5477632230477</v>
      </c>
      <c r="E12" s="23">
        <f>E10*E8</f>
        <v>421.60970343696027</v>
      </c>
      <c r="F12" s="23">
        <f>F10*F8</f>
        <v>3200.857051619073</v>
      </c>
      <c r="G12" s="23"/>
      <c r="H12" s="23"/>
      <c r="I12" s="23"/>
      <c r="J12" s="23">
        <f>J10*J8</f>
        <v>597.6804099994888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2052</v>
      </c>
      <c r="C18" s="166" t="s">
        <v>111</v>
      </c>
      <c r="D18" s="228"/>
      <c r="E18" s="15"/>
    </row>
    <row r="19" spans="1:7">
      <c r="A19" s="171" t="s">
        <v>72</v>
      </c>
      <c r="B19" s="37">
        <f>aantalw2001_ander</f>
        <v>2</v>
      </c>
      <c r="C19" s="166" t="s">
        <v>111</v>
      </c>
      <c r="D19" s="229"/>
      <c r="E19" s="15"/>
    </row>
    <row r="20" spans="1:7">
      <c r="A20" s="171" t="s">
        <v>73</v>
      </c>
      <c r="B20" s="37">
        <f>aantalw2001_propaan</f>
        <v>59</v>
      </c>
      <c r="C20" s="167">
        <f>IF(ISERROR(B20/SUM($B$20,$B$21,$B$22)*100),0,B20/SUM($B$20,$B$21,$B$22)*100)</f>
        <v>13.501144164759726</v>
      </c>
      <c r="D20" s="229"/>
      <c r="E20" s="15"/>
    </row>
    <row r="21" spans="1:7">
      <c r="A21" s="171" t="s">
        <v>74</v>
      </c>
      <c r="B21" s="37">
        <f>aantalw2001_elektriciteit</f>
        <v>288</v>
      </c>
      <c r="C21" s="167">
        <f>IF(ISERROR(B21/SUM($B$20,$B$21,$B$22)*100),0,B21/SUM($B$20,$B$21,$B$22)*100)</f>
        <v>65.903890160183067</v>
      </c>
      <c r="D21" s="229"/>
      <c r="E21" s="15"/>
    </row>
    <row r="22" spans="1:7">
      <c r="A22" s="171" t="s">
        <v>75</v>
      </c>
      <c r="B22" s="37">
        <f>aantalw2001_hout</f>
        <v>90</v>
      </c>
      <c r="C22" s="167">
        <f>IF(ISERROR(B22/SUM($B$20,$B$21,$B$22)*100),0,B22/SUM($B$20,$B$21,$B$22)*100)</f>
        <v>20.59496567505721</v>
      </c>
      <c r="D22" s="229"/>
      <c r="E22" s="15"/>
    </row>
    <row r="23" spans="1:7">
      <c r="A23" s="171" t="s">
        <v>76</v>
      </c>
      <c r="B23" s="37">
        <f>aantalw2001_niet_gespec</f>
        <v>91</v>
      </c>
      <c r="C23" s="166" t="s">
        <v>111</v>
      </c>
      <c r="D23" s="228"/>
      <c r="E23" s="15"/>
    </row>
    <row r="24" spans="1:7">
      <c r="A24" s="171" t="s">
        <v>77</v>
      </c>
      <c r="B24" s="37">
        <f>aantalw2001_steenkool</f>
        <v>141</v>
      </c>
      <c r="C24" s="166" t="s">
        <v>111</v>
      </c>
      <c r="D24" s="229"/>
      <c r="E24" s="15"/>
    </row>
    <row r="25" spans="1:7">
      <c r="A25" s="171" t="s">
        <v>78</v>
      </c>
      <c r="B25" s="37">
        <f>aantalw2001_stookolie</f>
        <v>1324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4451</v>
      </c>
      <c r="C28" s="36"/>
      <c r="D28" s="228"/>
    </row>
    <row r="29" spans="1:7" s="15" customFormat="1">
      <c r="A29" s="230" t="s">
        <v>741</v>
      </c>
      <c r="B29" s="37">
        <f>SUM(HH_hh_gas_aantal,HH_rest_gas_aantal)</f>
        <v>2982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2982</v>
      </c>
      <c r="C32" s="167">
        <f>IF(ISERROR(B32/SUM($B$32,$B$34,$B$35,$B$36,$B$38,$B$39)*100),0,B32/SUM($B$32,$B$34,$B$35,$B$36,$B$38,$B$39)*100)</f>
        <v>67.177292182924091</v>
      </c>
      <c r="D32" s="233"/>
      <c r="G32" s="15"/>
    </row>
    <row r="33" spans="1:7">
      <c r="A33" s="171" t="s">
        <v>72</v>
      </c>
      <c r="B33" s="34" t="s">
        <v>111</v>
      </c>
      <c r="C33" s="167"/>
      <c r="D33" s="233"/>
      <c r="G33" s="15"/>
    </row>
    <row r="34" spans="1:7">
      <c r="A34" s="171" t="s">
        <v>73</v>
      </c>
      <c r="B34" s="33">
        <f>IF((($B$28-$B$32-$B$39-$B$77-$B$38)*C20/100)&lt;0,0,($B$28-$B$32-$B$39-$B$77-$B$38)*C20/100)</f>
        <v>124.48054919908468</v>
      </c>
      <c r="C34" s="167">
        <f>IF(ISERROR(B34/SUM($B$32,$B$34,$B$35,$B$36,$B$38,$B$39)*100),0,B34/SUM($B$32,$B$34,$B$35,$B$36,$B$38,$B$39)*100)</f>
        <v>2.8042475602407002</v>
      </c>
      <c r="D34" s="233"/>
      <c r="G34" s="15"/>
    </row>
    <row r="35" spans="1:7">
      <c r="A35" s="171" t="s">
        <v>74</v>
      </c>
      <c r="B35" s="33">
        <f>IF((($B$28-$B$32-$B$39-$B$77-$B$38)*C21/100)&lt;0,0,($B$28-$B$32-$B$39-$B$77-$B$38)*C21/100)</f>
        <v>607.63386727688794</v>
      </c>
      <c r="C35" s="167">
        <f>IF(ISERROR(B35/SUM($B$32,$B$34,$B$35,$B$36,$B$38,$B$39)*100),0,B35/SUM($B$32,$B$34,$B$35,$B$36,$B$38,$B$39)*100)</f>
        <v>13.688530463547824</v>
      </c>
      <c r="D35" s="233"/>
      <c r="G35" s="15"/>
    </row>
    <row r="36" spans="1:7">
      <c r="A36" s="171" t="s">
        <v>75</v>
      </c>
      <c r="B36" s="33">
        <f>IF((($B$28-$B$32-$B$39-$B$77-$B$38)*C22/100)&lt;0,0,($B$28-$B$32-$B$39-$B$77-$B$38)*C22/100)</f>
        <v>189.88558352402745</v>
      </c>
      <c r="C36" s="167">
        <f>IF(ISERROR(B36/SUM($B$32,$B$34,$B$35,$B$36,$B$38,$B$39)*100),0,B36/SUM($B$32,$B$34,$B$35,$B$36,$B$38,$B$39)*100)</f>
        <v>4.2776657698586948</v>
      </c>
      <c r="D36" s="233"/>
      <c r="G36" s="15"/>
    </row>
    <row r="37" spans="1:7">
      <c r="A37" s="171" t="s">
        <v>76</v>
      </c>
      <c r="B37" s="34" t="s">
        <v>111</v>
      </c>
      <c r="C37" s="167"/>
      <c r="D37" s="173"/>
      <c r="G37" s="15"/>
    </row>
    <row r="38" spans="1:7">
      <c r="A38" s="171" t="s">
        <v>77</v>
      </c>
      <c r="B38" s="33">
        <f>IF((B24-(B29-B18)*0.1)&lt;0,0,B24-(B29-B18)*0.1)</f>
        <v>48</v>
      </c>
      <c r="C38" s="167">
        <f>IF(ISERROR(B38/SUM($B$32,$B$34,$B$35,$B$36,$B$38,$B$39)*100),0,B38/SUM($B$32,$B$34,$B$35,$B$36,$B$38,$B$39)*100)</f>
        <v>1.0813246226627617</v>
      </c>
      <c r="D38" s="234"/>
      <c r="G38" s="15"/>
    </row>
    <row r="39" spans="1:7">
      <c r="A39" s="171" t="s">
        <v>78</v>
      </c>
      <c r="B39" s="33">
        <f>IF((B25-(B29-B18))&lt;0,0,B25-(B29-B18)*0.9)</f>
        <v>487</v>
      </c>
      <c r="C39" s="167">
        <f>IF(ISERROR(B39/SUM($B$32,$B$34,$B$35,$B$36,$B$38,$B$39)*100),0,B39/SUM($B$32,$B$34,$B$35,$B$36,$B$38,$B$39)*100)</f>
        <v>10.970939400765939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2982</v>
      </c>
      <c r="C44" s="34" t="s">
        <v>111</v>
      </c>
      <c r="D44" s="174"/>
    </row>
    <row r="45" spans="1:7">
      <c r="A45" s="171" t="s">
        <v>72</v>
      </c>
      <c r="B45" s="33" t="str">
        <f t="shared" si="0"/>
        <v>-</v>
      </c>
      <c r="C45" s="34" t="s">
        <v>111</v>
      </c>
      <c r="D45" s="174"/>
    </row>
    <row r="46" spans="1:7">
      <c r="A46" s="171" t="s">
        <v>73</v>
      </c>
      <c r="B46" s="33">
        <f t="shared" si="0"/>
        <v>124.48054919908468</v>
      </c>
      <c r="C46" s="34" t="s">
        <v>111</v>
      </c>
      <c r="D46" s="174"/>
    </row>
    <row r="47" spans="1:7">
      <c r="A47" s="171" t="s">
        <v>74</v>
      </c>
      <c r="B47" s="33">
        <f t="shared" si="0"/>
        <v>607.63386727688794</v>
      </c>
      <c r="C47" s="34" t="s">
        <v>111</v>
      </c>
      <c r="D47" s="174"/>
    </row>
    <row r="48" spans="1:7">
      <c r="A48" s="171" t="s">
        <v>75</v>
      </c>
      <c r="B48" s="33">
        <f t="shared" si="0"/>
        <v>189.88558352402745</v>
      </c>
      <c r="C48" s="33">
        <f>B48*10</f>
        <v>1898.8558352402745</v>
      </c>
      <c r="D48" s="234"/>
    </row>
    <row r="49" spans="1:6">
      <c r="A49" s="171" t="s">
        <v>76</v>
      </c>
      <c r="B49" s="33" t="str">
        <f t="shared" si="0"/>
        <v>-</v>
      </c>
      <c r="C49" s="34" t="s">
        <v>111</v>
      </c>
      <c r="D49" s="234"/>
    </row>
    <row r="50" spans="1:6">
      <c r="A50" s="171" t="s">
        <v>77</v>
      </c>
      <c r="B50" s="33">
        <f t="shared" si="0"/>
        <v>48</v>
      </c>
      <c r="C50" s="33">
        <f>B50*2</f>
        <v>96</v>
      </c>
      <c r="D50" s="234"/>
    </row>
    <row r="51" spans="1:6">
      <c r="A51" s="171" t="s">
        <v>78</v>
      </c>
      <c r="B51" s="33">
        <f t="shared" si="0"/>
        <v>487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11992.4426</v>
      </c>
      <c r="C5" s="17">
        <f>IF(ISERROR('Eigen informatie GS &amp; warmtenet'!B58),0,'Eigen informatie GS &amp; warmtenet'!B58)</f>
        <v>0</v>
      </c>
      <c r="D5" s="30">
        <f>SUM(D6:D12)</f>
        <v>9619.7327617578812</v>
      </c>
      <c r="E5" s="17">
        <f>SUM(E6:E12)</f>
        <v>124.96695737420241</v>
      </c>
      <c r="F5" s="17">
        <f>SUM(F6:F12)</f>
        <v>1728.8712038017188</v>
      </c>
      <c r="G5" s="18"/>
      <c r="H5" s="17"/>
      <c r="I5" s="17"/>
      <c r="J5" s="17">
        <f>SUM(J6:J12)</f>
        <v>0</v>
      </c>
      <c r="K5" s="17"/>
      <c r="L5" s="17"/>
      <c r="M5" s="17"/>
      <c r="N5" s="17">
        <f>SUM(N6:N12)</f>
        <v>758.82040648999964</v>
      </c>
      <c r="O5" s="17">
        <f>B38*B39*B40</f>
        <v>1.5633333333333335</v>
      </c>
      <c r="P5" s="17">
        <f>B46*B47*B48/1000-B46*B47*B48/1000/B49</f>
        <v>19.066666666666666</v>
      </c>
      <c r="R5" s="32"/>
    </row>
    <row r="6" spans="1:18">
      <c r="A6" s="32" t="s">
        <v>54</v>
      </c>
      <c r="B6" s="37">
        <f>B26</f>
        <v>1561.5550000000001</v>
      </c>
      <c r="C6" s="33"/>
      <c r="D6" s="37">
        <f>IF(ISERROR(TER_kantoor_gas_kWh/1000),0,TER_kantoor_gas_kWh/1000)*0.902</f>
        <v>2162.2921685328624</v>
      </c>
      <c r="E6" s="33">
        <f>$C$26*'E Balans VL '!I12/100/3.6*1000000</f>
        <v>4.5240539476049726</v>
      </c>
      <c r="F6" s="33">
        <f>$C$26*('E Balans VL '!L12+'E Balans VL '!N12)/100/3.6*1000000</f>
        <v>176.73362227594868</v>
      </c>
      <c r="G6" s="34"/>
      <c r="H6" s="33"/>
      <c r="I6" s="33"/>
      <c r="J6" s="33">
        <f>$C$26*('E Balans VL '!D12+'E Balans VL '!E12)/100/3.6*1000000</f>
        <v>0</v>
      </c>
      <c r="K6" s="33"/>
      <c r="L6" s="33"/>
      <c r="M6" s="33"/>
      <c r="N6" s="33">
        <f>$C$26*'E Balans VL '!Y12/100/3.6*1000000</f>
        <v>15.630014944902902</v>
      </c>
      <c r="O6" s="33"/>
      <c r="P6" s="33"/>
      <c r="R6" s="32"/>
    </row>
    <row r="7" spans="1:18">
      <c r="A7" s="32" t="s">
        <v>53</v>
      </c>
      <c r="B7" s="37">
        <f t="shared" ref="B7:B12" si="0">B27</f>
        <v>861.91890000000001</v>
      </c>
      <c r="C7" s="33"/>
      <c r="D7" s="37">
        <f>IF(ISERROR(TER_horeca_gas_kWh/1000),0,TER_horeca_gas_kWh/1000)*0.902</f>
        <v>871.59351884671639</v>
      </c>
      <c r="E7" s="33">
        <f>$C$27*'E Balans VL '!I9/100/3.6*1000000</f>
        <v>36.180947268187758</v>
      </c>
      <c r="F7" s="33">
        <f>$C$27*('E Balans VL '!L9+'E Balans VL '!N9)/100/3.6*1000000</f>
        <v>185.20095097675753</v>
      </c>
      <c r="G7" s="34"/>
      <c r="H7" s="33"/>
      <c r="I7" s="33"/>
      <c r="J7" s="33">
        <f>$C$27*('E Balans VL '!D9+'E Balans VL '!E9)/100/3.6*1000000</f>
        <v>0</v>
      </c>
      <c r="K7" s="33"/>
      <c r="L7" s="33"/>
      <c r="M7" s="33"/>
      <c r="N7" s="33">
        <f>$C$27*'E Balans VL '!Y9/100/3.6*1000000</f>
        <v>0.22210896277577008</v>
      </c>
      <c r="O7" s="33"/>
      <c r="P7" s="33"/>
      <c r="R7" s="32"/>
    </row>
    <row r="8" spans="1:18">
      <c r="A8" s="6" t="s">
        <v>52</v>
      </c>
      <c r="B8" s="37">
        <f t="shared" si="0"/>
        <v>4217.6260000000002</v>
      </c>
      <c r="C8" s="33"/>
      <c r="D8" s="37">
        <f>IF(ISERROR(TER_handel_gas_kWh/1000),0,TER_handel_gas_kWh/1000)*0.902</f>
        <v>1429.7565304638463</v>
      </c>
      <c r="E8" s="33">
        <f>$C$28*'E Balans VL '!I13/100/3.6*1000000</f>
        <v>45.300813470335925</v>
      </c>
      <c r="F8" s="33">
        <f>$C$28*('E Balans VL '!L13+'E Balans VL '!N13)/100/3.6*1000000</f>
        <v>546.00651413752701</v>
      </c>
      <c r="G8" s="34"/>
      <c r="H8" s="33"/>
      <c r="I8" s="33"/>
      <c r="J8" s="33">
        <f>$C$28*('E Balans VL '!D13+'E Balans VL '!E13)/100/3.6*1000000</f>
        <v>0</v>
      </c>
      <c r="K8" s="33"/>
      <c r="L8" s="33"/>
      <c r="M8" s="33"/>
      <c r="N8" s="33">
        <f>$C$28*'E Balans VL '!Y13/100/3.6*1000000</f>
        <v>34.213612404392606</v>
      </c>
      <c r="O8" s="33"/>
      <c r="P8" s="33"/>
      <c r="R8" s="32"/>
    </row>
    <row r="9" spans="1:18">
      <c r="A9" s="32" t="s">
        <v>51</v>
      </c>
      <c r="B9" s="37">
        <f t="shared" si="0"/>
        <v>695.0874</v>
      </c>
      <c r="C9" s="33"/>
      <c r="D9" s="37">
        <f>IF(ISERROR(TER_gezond_gas_kWh/1000),0,TER_gezond_gas_kWh/1000)*0.902</f>
        <v>1524.007492088293</v>
      </c>
      <c r="E9" s="33">
        <f>$C$29*'E Balans VL '!I10/100/3.6*1000000</f>
        <v>0.55333452744859712</v>
      </c>
      <c r="F9" s="33">
        <f>$C$29*('E Balans VL '!L10+'E Balans VL '!N10)/100/3.6*1000000</f>
        <v>84.497918387679789</v>
      </c>
      <c r="G9" s="34"/>
      <c r="H9" s="33"/>
      <c r="I9" s="33"/>
      <c r="J9" s="33">
        <f>$C$29*('E Balans VL '!D10+'E Balans VL '!E10)/100/3.6*1000000</f>
        <v>0</v>
      </c>
      <c r="K9" s="33"/>
      <c r="L9" s="33"/>
      <c r="M9" s="33"/>
      <c r="N9" s="33">
        <f>$C$29*'E Balans VL '!Y10/100/3.6*1000000</f>
        <v>5.6147318658927929</v>
      </c>
      <c r="O9" s="33"/>
      <c r="P9" s="33"/>
      <c r="R9" s="32"/>
    </row>
    <row r="10" spans="1:18">
      <c r="A10" s="32" t="s">
        <v>50</v>
      </c>
      <c r="B10" s="37">
        <f t="shared" si="0"/>
        <v>507.9588</v>
      </c>
      <c r="C10" s="33"/>
      <c r="D10" s="37">
        <f>IF(ISERROR(TER_ander_gas_kWh/1000),0,TER_ander_gas_kWh/1000)*0.902</f>
        <v>342.01422861809198</v>
      </c>
      <c r="E10" s="33">
        <f>$C$30*'E Balans VL '!I14/100/3.6*1000000</f>
        <v>1.7408014923347437</v>
      </c>
      <c r="F10" s="33">
        <f>$C$30*('E Balans VL '!L14+'E Balans VL '!N14)/100/3.6*1000000</f>
        <v>113.45735490580725</v>
      </c>
      <c r="G10" s="34"/>
      <c r="H10" s="33"/>
      <c r="I10" s="33"/>
      <c r="J10" s="33">
        <f>$C$30*('E Balans VL '!D14+'E Balans VL '!E14)/100/3.6*1000000</f>
        <v>0</v>
      </c>
      <c r="K10" s="33"/>
      <c r="L10" s="33"/>
      <c r="M10" s="33"/>
      <c r="N10" s="33">
        <f>$C$30*'E Balans VL '!Y14/100/3.6*1000000</f>
        <v>357.80895364468222</v>
      </c>
      <c r="O10" s="33"/>
      <c r="P10" s="33"/>
      <c r="R10" s="32"/>
    </row>
    <row r="11" spans="1:18">
      <c r="A11" s="32" t="s">
        <v>55</v>
      </c>
      <c r="B11" s="37">
        <f t="shared" si="0"/>
        <v>100.4045</v>
      </c>
      <c r="C11" s="33"/>
      <c r="D11" s="37">
        <f>IF(ISERROR(TER_onderwijs_gas_kWh/1000),0,TER_onderwijs_gas_kWh/1000)*0.902</f>
        <v>555.43529212462795</v>
      </c>
      <c r="E11" s="33">
        <f>$C$31*'E Balans VL '!I11/100/3.6*1000000</f>
        <v>6.9406538634761178E-2</v>
      </c>
      <c r="F11" s="33">
        <f>$C$31*('E Balans VL '!L11+'E Balans VL '!N11)/100/3.6*1000000</f>
        <v>26.282981547167868</v>
      </c>
      <c r="G11" s="34"/>
      <c r="H11" s="33"/>
      <c r="I11" s="33"/>
      <c r="J11" s="33">
        <f>$C$31*('E Balans VL '!D11+'E Balans VL '!E11)/100/3.6*1000000</f>
        <v>0</v>
      </c>
      <c r="K11" s="33"/>
      <c r="L11" s="33"/>
      <c r="M11" s="33"/>
      <c r="N11" s="33">
        <f>$C$31*'E Balans VL '!Y11/100/3.6*1000000</f>
        <v>9.9944127961800147E-2</v>
      </c>
      <c r="O11" s="33"/>
      <c r="P11" s="33"/>
      <c r="R11" s="32"/>
    </row>
    <row r="12" spans="1:18">
      <c r="A12" s="32" t="s">
        <v>260</v>
      </c>
      <c r="B12" s="37">
        <f t="shared" si="0"/>
        <v>4047.8919999999998</v>
      </c>
      <c r="C12" s="33"/>
      <c r="D12" s="37">
        <f>IF(ISERROR(TER_rest_gas_kWh/1000),0,TER_rest_gas_kWh/1000)*0.902</f>
        <v>2734.6335310834438</v>
      </c>
      <c r="E12" s="33">
        <f>$C$32*'E Balans VL '!I8/100/3.6*1000000</f>
        <v>36.597600129655646</v>
      </c>
      <c r="F12" s="33">
        <f>$C$32*('E Balans VL '!L8+'E Balans VL '!N8)/100/3.6*1000000</f>
        <v>596.69186157083084</v>
      </c>
      <c r="G12" s="34"/>
      <c r="H12" s="33"/>
      <c r="I12" s="33"/>
      <c r="J12" s="33">
        <f>$C$32*('E Balans VL '!D8+'E Balans VL '!E8)/100/3.6*1000000</f>
        <v>0</v>
      </c>
      <c r="K12" s="33"/>
      <c r="L12" s="33"/>
      <c r="M12" s="33"/>
      <c r="N12" s="33">
        <f>$C$32*'E Balans VL '!Y8/100/3.6*1000000</f>
        <v>345.23104053939159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11992.4426</v>
      </c>
      <c r="C16" s="21">
        <f t="shared" ca="1" si="1"/>
        <v>0</v>
      </c>
      <c r="D16" s="21">
        <f t="shared" ca="1" si="1"/>
        <v>9619.7327617578812</v>
      </c>
      <c r="E16" s="21">
        <f t="shared" si="1"/>
        <v>124.96695737420241</v>
      </c>
      <c r="F16" s="21">
        <f t="shared" ca="1" si="1"/>
        <v>1728.8712038017188</v>
      </c>
      <c r="G16" s="21">
        <f t="shared" si="1"/>
        <v>0</v>
      </c>
      <c r="H16" s="21">
        <f t="shared" si="1"/>
        <v>0</v>
      </c>
      <c r="I16" s="21">
        <f t="shared" si="1"/>
        <v>0</v>
      </c>
      <c r="J16" s="21">
        <f t="shared" si="1"/>
        <v>0</v>
      </c>
      <c r="K16" s="21">
        <f t="shared" si="1"/>
        <v>0</v>
      </c>
      <c r="L16" s="21">
        <f t="shared" ca="1" si="1"/>
        <v>0</v>
      </c>
      <c r="M16" s="21">
        <f t="shared" si="1"/>
        <v>0</v>
      </c>
      <c r="N16" s="21">
        <f t="shared" ca="1" si="1"/>
        <v>758.82040648999964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0.2138249981822386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2564.284017145601</v>
      </c>
      <c r="C20" s="23">
        <f t="shared" ref="C20:P20" ca="1" si="2">C16*C18</f>
        <v>0</v>
      </c>
      <c r="D20" s="23">
        <f t="shared" ca="1" si="2"/>
        <v>1943.1860178750921</v>
      </c>
      <c r="E20" s="23">
        <f t="shared" si="2"/>
        <v>28.367499323943946</v>
      </c>
      <c r="F20" s="23">
        <f t="shared" ca="1" si="2"/>
        <v>461.60861141505893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1561.5550000000001</v>
      </c>
      <c r="C26" s="39">
        <f>IF(ISERROR(B26*3.6/1000000/'E Balans VL '!Z12*100),0,B26*3.6/1000000/'E Balans VL '!Z12*100)</f>
        <v>3.4301360913361612E-2</v>
      </c>
      <c r="D26" s="237" t="s">
        <v>692</v>
      </c>
      <c r="F26" s="6"/>
    </row>
    <row r="27" spans="1:18">
      <c r="A27" s="231" t="s">
        <v>53</v>
      </c>
      <c r="B27" s="33">
        <f>IF(ISERROR(TER_horeca_ele_kWh/1000),0,TER_horeca_ele_kWh/1000)</f>
        <v>861.91890000000001</v>
      </c>
      <c r="C27" s="39">
        <f>IF(ISERROR(B27*3.6/1000000/'E Balans VL '!Z9*100),0,B27*3.6/1000000/'E Balans VL '!Z9*100)</f>
        <v>6.9263775324072574E-2</v>
      </c>
      <c r="D27" s="237" t="s">
        <v>692</v>
      </c>
      <c r="F27" s="6"/>
    </row>
    <row r="28" spans="1:18">
      <c r="A28" s="171" t="s">
        <v>52</v>
      </c>
      <c r="B28" s="33">
        <f>IF(ISERROR(TER_handel_ele_kWh/1000),0,TER_handel_ele_kWh/1000)</f>
        <v>4217.6260000000002</v>
      </c>
      <c r="C28" s="39">
        <f>IF(ISERROR(B28*3.6/1000000/'E Balans VL '!Z13*100),0,B28*3.6/1000000/'E Balans VL '!Z13*100)</f>
        <v>0.1247122543246101</v>
      </c>
      <c r="D28" s="237" t="s">
        <v>692</v>
      </c>
      <c r="F28" s="6"/>
    </row>
    <row r="29" spans="1:18">
      <c r="A29" s="231" t="s">
        <v>51</v>
      </c>
      <c r="B29" s="33">
        <f>IF(ISERROR(TER_gezond_ele_kWh/1000),0,TER_gezond_ele_kWh/1000)</f>
        <v>695.0874</v>
      </c>
      <c r="C29" s="39">
        <f>IF(ISERROR(B29*3.6/1000000/'E Balans VL '!Z10*100),0,B29*3.6/1000000/'E Balans VL '!Z10*100)</f>
        <v>7.8318404405238407E-2</v>
      </c>
      <c r="D29" s="237" t="s">
        <v>692</v>
      </c>
      <c r="F29" s="6"/>
    </row>
    <row r="30" spans="1:18">
      <c r="A30" s="231" t="s">
        <v>50</v>
      </c>
      <c r="B30" s="33">
        <f>IF(ISERROR(TER_ander_ele_kWh/1000),0,TER_ander_ele_kWh/1000)</f>
        <v>507.9588</v>
      </c>
      <c r="C30" s="39">
        <f>IF(ISERROR(B30*3.6/1000000/'E Balans VL '!Z14*100),0,B30*3.6/1000000/'E Balans VL '!Z14*100)</f>
        <v>3.8416055727653303E-2</v>
      </c>
      <c r="D30" s="237" t="s">
        <v>692</v>
      </c>
      <c r="F30" s="6"/>
    </row>
    <row r="31" spans="1:18">
      <c r="A31" s="231" t="s">
        <v>55</v>
      </c>
      <c r="B31" s="33">
        <f>IF(ISERROR(TER_onderwijs_ele_kWh/1000),0,TER_onderwijs_ele_kWh/1000)</f>
        <v>100.4045</v>
      </c>
      <c r="C31" s="39">
        <f>IF(ISERROR(B31*3.6/1000000/'E Balans VL '!Z11*100),0,B31*3.6/1000000/'E Balans VL '!Z11*100)</f>
        <v>2.0841643409594324E-2</v>
      </c>
      <c r="D31" s="237" t="s">
        <v>692</v>
      </c>
    </row>
    <row r="32" spans="1:18">
      <c r="A32" s="231" t="s">
        <v>260</v>
      </c>
      <c r="B32" s="33">
        <f>IF(ISERROR(TER_rest_ele_kWh/1000),0,TER_rest_ele_kWh/1000)</f>
        <v>4047.8919999999998</v>
      </c>
      <c r="C32" s="39">
        <f>IF(ISERROR(B32*3.6/1000000/'E Balans VL '!Z8*100),0,B32*3.6/1000000/'E Balans VL '!Z8*100)</f>
        <v>3.4101108805778088E-2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19261.596799999999</v>
      </c>
      <c r="C5" s="17">
        <f>IF(ISERROR('Eigen informatie GS &amp; warmtenet'!B59),0,'Eigen informatie GS &amp; warmtenet'!B59)</f>
        <v>0</v>
      </c>
      <c r="D5" s="30">
        <f>SUM(D6:D15)</f>
        <v>17767.408820374316</v>
      </c>
      <c r="E5" s="17">
        <f>SUM(E6:E15)</f>
        <v>1218.6232050886649</v>
      </c>
      <c r="F5" s="17">
        <f>SUM(F6:F15)</f>
        <v>15792.769541575848</v>
      </c>
      <c r="G5" s="18"/>
      <c r="H5" s="17"/>
      <c r="I5" s="17"/>
      <c r="J5" s="17">
        <f>SUM(J6:J15)</f>
        <v>186.53312590633772</v>
      </c>
      <c r="K5" s="17"/>
      <c r="L5" s="17"/>
      <c r="M5" s="17"/>
      <c r="N5" s="17">
        <f>SUM(N6:N15)</f>
        <v>5811.6682052809174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393.15570000000002</v>
      </c>
      <c r="C8" s="33"/>
      <c r="D8" s="37">
        <f>IF( ISERROR(IND_metaal_Gas_kWH/1000),0,IND_metaal_Gas_kWH/1000)*0.902</f>
        <v>156.52603809674284</v>
      </c>
      <c r="E8" s="33">
        <f>C30*'E Balans VL '!I18/100/3.6*1000000</f>
        <v>9.8393111555292112</v>
      </c>
      <c r="F8" s="33">
        <f>C30*'E Balans VL '!L18/100/3.6*1000000+C30*'E Balans VL '!N18/100/3.6*1000000</f>
        <v>123.21695203702726</v>
      </c>
      <c r="G8" s="34"/>
      <c r="H8" s="33"/>
      <c r="I8" s="33"/>
      <c r="J8" s="40">
        <f>C30*'E Balans VL '!D18/100/3.6*1000000+C30*'E Balans VL '!E18/100/3.6*1000000</f>
        <v>0</v>
      </c>
      <c r="K8" s="33"/>
      <c r="L8" s="33"/>
      <c r="M8" s="33"/>
      <c r="N8" s="33">
        <f>C30*'E Balans VL '!Y18/100/3.6*1000000</f>
        <v>9.8770915120147897</v>
      </c>
      <c r="O8" s="33"/>
      <c r="P8" s="33"/>
      <c r="R8" s="32"/>
    </row>
    <row r="9" spans="1:18">
      <c r="A9" s="6" t="s">
        <v>33</v>
      </c>
      <c r="B9" s="37">
        <f t="shared" si="0"/>
        <v>2400.4940000000001</v>
      </c>
      <c r="C9" s="33"/>
      <c r="D9" s="37">
        <f>IF( ISERROR(IND_andere_gas_kWh/1000),0,IND_andere_gas_kWh/1000)*0.902</f>
        <v>1450.5984836702685</v>
      </c>
      <c r="E9" s="33">
        <f>C31*'E Balans VL '!I19/100/3.6*1000000</f>
        <v>660.03739360513646</v>
      </c>
      <c r="F9" s="33">
        <f>C31*'E Balans VL '!L19/100/3.6*1000000+C31*'E Balans VL '!N19/100/3.6*1000000</f>
        <v>1892.0069879471532</v>
      </c>
      <c r="G9" s="34"/>
      <c r="H9" s="33"/>
      <c r="I9" s="33"/>
      <c r="J9" s="40">
        <f>C31*'E Balans VL '!D19/100/3.6*1000000+C31*'E Balans VL '!E19/100/3.6*1000000</f>
        <v>0</v>
      </c>
      <c r="K9" s="33"/>
      <c r="L9" s="33"/>
      <c r="M9" s="33"/>
      <c r="N9" s="33">
        <f>C31*'E Balans VL '!Y19/100/3.6*1000000</f>
        <v>777.1032702385836</v>
      </c>
      <c r="O9" s="33"/>
      <c r="P9" s="33"/>
      <c r="R9" s="32"/>
    </row>
    <row r="10" spans="1:18">
      <c r="A10" s="6" t="s">
        <v>41</v>
      </c>
      <c r="B10" s="37">
        <f t="shared" si="0"/>
        <v>6125.8</v>
      </c>
      <c r="C10" s="33"/>
      <c r="D10" s="37">
        <f>IF( ISERROR(IND_voed_gas_kWh/1000),0,IND_voed_gas_kWh/1000)*0.902</f>
        <v>6676.3565004660022</v>
      </c>
      <c r="E10" s="33">
        <f>C32*'E Balans VL '!I20/100/3.6*1000000</f>
        <v>62.449156277523755</v>
      </c>
      <c r="F10" s="33">
        <f>C32*'E Balans VL '!L20/100/3.6*1000000+C32*'E Balans VL '!N20/100/3.6*1000000</f>
        <v>11571.597886819409</v>
      </c>
      <c r="G10" s="34"/>
      <c r="H10" s="33"/>
      <c r="I10" s="33"/>
      <c r="J10" s="40">
        <f>C32*'E Balans VL '!D20/100/3.6*1000000+C32*'E Balans VL '!E20/100/3.6*1000000</f>
        <v>146.61043770834584</v>
      </c>
      <c r="K10" s="33"/>
      <c r="L10" s="33"/>
      <c r="M10" s="33"/>
      <c r="N10" s="33">
        <f>C32*'E Balans VL '!Y20/100/3.6*1000000</f>
        <v>3229.0022056361213</v>
      </c>
      <c r="O10" s="33"/>
      <c r="P10" s="33"/>
      <c r="R10" s="32"/>
    </row>
    <row r="11" spans="1:18">
      <c r="A11" s="6" t="s">
        <v>40</v>
      </c>
      <c r="B11" s="37">
        <f t="shared" si="0"/>
        <v>826.16509999999994</v>
      </c>
      <c r="C11" s="33"/>
      <c r="D11" s="37">
        <f>IF( ISERROR(IND_textiel_gas_kWh/1000),0,IND_textiel_gas_kWh/1000)*0.902</f>
        <v>0</v>
      </c>
      <c r="E11" s="33">
        <f>C33*'E Balans VL '!I21/100/3.6*1000000</f>
        <v>2.1897416894268238</v>
      </c>
      <c r="F11" s="33">
        <f>C33*'E Balans VL '!L21/100/3.6*1000000+C33*'E Balans VL '!N21/100/3.6*1000000</f>
        <v>36.897385618761064</v>
      </c>
      <c r="G11" s="34"/>
      <c r="H11" s="33"/>
      <c r="I11" s="33"/>
      <c r="J11" s="40">
        <f>C33*'E Balans VL '!D21/100/3.6*1000000+C33*'E Balans VL '!E21/100/3.6*1000000</f>
        <v>0</v>
      </c>
      <c r="K11" s="33"/>
      <c r="L11" s="33"/>
      <c r="M11" s="33"/>
      <c r="N11" s="33">
        <f>C33*'E Balans VL '!Y21/100/3.6*1000000</f>
        <v>7.7860154898961573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9515.982</v>
      </c>
      <c r="C15" s="33"/>
      <c r="D15" s="37">
        <f>IF( ISERROR(IND_rest_gas_kWh/1000),0,IND_rest_gas_kWh/1000)*0.902</f>
        <v>9483.9277981412997</v>
      </c>
      <c r="E15" s="33">
        <f>C37*'E Balans VL '!I15/100/3.6*1000000</f>
        <v>484.10760236104858</v>
      </c>
      <c r="F15" s="33">
        <f>C37*'E Balans VL '!L15/100/3.6*1000000+C37*'E Balans VL '!N15/100/3.6*1000000</f>
        <v>2169.0503291534983</v>
      </c>
      <c r="G15" s="34"/>
      <c r="H15" s="33"/>
      <c r="I15" s="33"/>
      <c r="J15" s="40">
        <f>C37*'E Balans VL '!D15/100/3.6*1000000+C37*'E Balans VL '!E15/100/3.6*1000000</f>
        <v>39.92268819799186</v>
      </c>
      <c r="K15" s="33"/>
      <c r="L15" s="33"/>
      <c r="M15" s="33"/>
      <c r="N15" s="33">
        <f>C37*'E Balans VL '!Y15/100/3.6*1000000</f>
        <v>1787.8996224043017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19261.596799999999</v>
      </c>
      <c r="C18" s="21">
        <f>C5+C16</f>
        <v>0</v>
      </c>
      <c r="D18" s="21">
        <f>MAX((D5+D16),0)</f>
        <v>17767.408820374316</v>
      </c>
      <c r="E18" s="21">
        <f>MAX((E5+E16),0)</f>
        <v>1218.6232050886649</v>
      </c>
      <c r="F18" s="21">
        <f>MAX((F5+F16),0)</f>
        <v>15792.769541575848</v>
      </c>
      <c r="G18" s="21"/>
      <c r="H18" s="21"/>
      <c r="I18" s="21"/>
      <c r="J18" s="21">
        <f>MAX((J5+J16),0)</f>
        <v>186.53312590633772</v>
      </c>
      <c r="K18" s="21"/>
      <c r="L18" s="21">
        <f>MAX((L5+L16),0)</f>
        <v>0</v>
      </c>
      <c r="M18" s="21"/>
      <c r="N18" s="21">
        <f>MAX((N5+N16),0)</f>
        <v>5811.6682052809174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0.2138249981822386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4118.6109007470131</v>
      </c>
      <c r="C22" s="23">
        <f ca="1">C18*C20</f>
        <v>0</v>
      </c>
      <c r="D22" s="23">
        <f>D18*D20</f>
        <v>3589.0165817156121</v>
      </c>
      <c r="E22" s="23">
        <f>E18*E20</f>
        <v>276.62746755512694</v>
      </c>
      <c r="F22" s="23">
        <f>F18*F20</f>
        <v>4216.6694676007519</v>
      </c>
      <c r="G22" s="23"/>
      <c r="H22" s="23"/>
      <c r="I22" s="23"/>
      <c r="J22" s="23">
        <f>J18*J20</f>
        <v>66.03272657084355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393.15570000000002</v>
      </c>
      <c r="C30" s="39">
        <f>IF(ISERROR(B30*3.6/1000000/'E Balans VL '!Z18*100),0,B30*3.6/1000000/'E Balans VL '!Z18*100)</f>
        <v>5.5028695941555066E-2</v>
      </c>
      <c r="D30" s="237" t="s">
        <v>692</v>
      </c>
    </row>
    <row r="31" spans="1:18">
      <c r="A31" s="6" t="s">
        <v>33</v>
      </c>
      <c r="B31" s="37">
        <f>IF( ISERROR(IND_ander_ele_kWh/1000),0,IND_ander_ele_kWh/1000)</f>
        <v>2400.4940000000001</v>
      </c>
      <c r="C31" s="39">
        <f>IF(ISERROR(B31*3.6/1000000/'E Balans VL '!Z19*100),0,B31*3.6/1000000/'E Balans VL '!Z19*100)</f>
        <v>0.10506923296454726</v>
      </c>
      <c r="D31" s="237" t="s">
        <v>692</v>
      </c>
    </row>
    <row r="32" spans="1:18">
      <c r="A32" s="171" t="s">
        <v>41</v>
      </c>
      <c r="B32" s="37">
        <f>IF( ISERROR(IND_voed_ele_kWh/1000),0,IND_voed_ele_kWh/1000)</f>
        <v>6125.8</v>
      </c>
      <c r="C32" s="39">
        <f>IF(ISERROR(B32*3.6/1000000/'E Balans VL '!Z20*100),0,B32*3.6/1000000/'E Balans VL '!Z20*100)</f>
        <v>1.5165446522161732</v>
      </c>
      <c r="D32" s="237" t="s">
        <v>692</v>
      </c>
    </row>
    <row r="33" spans="1:5">
      <c r="A33" s="171" t="s">
        <v>40</v>
      </c>
      <c r="B33" s="37">
        <f>IF( ISERROR(IND_textiel_ele_kWh/1000),0,IND_textiel_ele_kWh/1000)</f>
        <v>826.16509999999994</v>
      </c>
      <c r="C33" s="39">
        <f>IF(ISERROR(B33*3.6/1000000/'E Balans VL '!Z21*100),0,B33*3.6/1000000/'E Balans VL '!Z21*100)</f>
        <v>9.3094253737686081E-2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9515.982</v>
      </c>
      <c r="C37" s="39">
        <f>IF(ISERROR(B37*3.6/1000000/'E Balans VL '!Z15*100),0,B37*3.6/1000000/'E Balans VL '!Z15*100)</f>
        <v>7.0559377324939429E-2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3348.3413999999998</v>
      </c>
      <c r="C5" s="17">
        <f>'Eigen informatie GS &amp; warmtenet'!B60</f>
        <v>0</v>
      </c>
      <c r="D5" s="30">
        <f>IF(ISERROR(SUM(LB_lb_gas_kWh,LB_rest_gas_kWh,onbekend_gas_kWh)/1000),0,SUM(LB_lb_gas_kWh,LB_rest_gas_kWh,onbekend_gas_kWh)/1000)*0.902</f>
        <v>41260.619008265036</v>
      </c>
      <c r="E5" s="17">
        <f>B17*'E Balans VL '!I25/3.6*1000000/100</f>
        <v>31.013740461090933</v>
      </c>
      <c r="F5" s="17">
        <f>B17*('E Balans VL '!L25/3.6*1000000+'E Balans VL '!N25/3.6*1000000)/100</f>
        <v>8495.3799901821149</v>
      </c>
      <c r="G5" s="18"/>
      <c r="H5" s="17"/>
      <c r="I5" s="17"/>
      <c r="J5" s="17">
        <f>('E Balans VL '!D25+'E Balans VL '!E25)/3.6*1000000*landbouw!B17/100</f>
        <v>513.33810421908481</v>
      </c>
      <c r="K5" s="17"/>
      <c r="L5" s="17">
        <f>L6*(-1)</f>
        <v>0</v>
      </c>
      <c r="M5" s="17"/>
      <c r="N5" s="17">
        <f>N6*(-1)</f>
        <v>0</v>
      </c>
      <c r="O5" s="17"/>
      <c r="P5" s="17"/>
      <c r="R5" s="32"/>
    </row>
    <row r="6" spans="1:18">
      <c r="A6" s="16" t="s">
        <v>494</v>
      </c>
      <c r="B6" s="17" t="s">
        <v>211</v>
      </c>
      <c r="C6" s="17">
        <f>'lokale energieproductie'!O91+'lokale energieproductie'!O60</f>
        <v>31422.857142857145</v>
      </c>
      <c r="D6" s="310">
        <f>('lokale energieproductie'!P60+'lokale energieproductie'!P91)*(-1)</f>
        <v>-62845.71428571429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3348.3413999999998</v>
      </c>
      <c r="C8" s="21">
        <f>C5+C6</f>
        <v>31422.857142857145</v>
      </c>
      <c r="D8" s="21">
        <f>MAX((D5+D6),0)</f>
        <v>0</v>
      </c>
      <c r="E8" s="21">
        <f>MAX((E5+E6),0)</f>
        <v>31.013740461090933</v>
      </c>
      <c r="F8" s="21">
        <f>MAX((F5+F6),0)</f>
        <v>8495.3799901821149</v>
      </c>
      <c r="G8" s="21"/>
      <c r="H8" s="21"/>
      <c r="I8" s="21"/>
      <c r="J8" s="21">
        <f>MAX((J5+J6),0)</f>
        <v>513.33810421908481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0.2138249981822386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715.95909376851421</v>
      </c>
      <c r="C12" s="23">
        <f ca="1">C8*C10</f>
        <v>7467.5495798319334</v>
      </c>
      <c r="D12" s="23">
        <f>D8*D10</f>
        <v>0</v>
      </c>
      <c r="E12" s="23">
        <f>E8*E10</f>
        <v>7.0401190846676416</v>
      </c>
      <c r="F12" s="23">
        <f>F8*F10</f>
        <v>2268.2664573786246</v>
      </c>
      <c r="G12" s="23"/>
      <c r="H12" s="23"/>
      <c r="I12" s="23"/>
      <c r="J12" s="23">
        <f>J8*J10</f>
        <v>181.72168889355601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0.47606314997053556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60.891529855643498</v>
      </c>
      <c r="C26" s="247">
        <f>B26*'GWP N2O_CH4'!B5</f>
        <v>1278.7221269685135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51.165679747670119</v>
      </c>
      <c r="C27" s="247">
        <f>B27*'GWP N2O_CH4'!B5</f>
        <v>1074.4792747010724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1.4597297605982369</v>
      </c>
      <c r="C28" s="247">
        <f>B28*'GWP N2O_CH4'!B4</f>
        <v>452.51622578545346</v>
      </c>
      <c r="D28" s="50"/>
    </row>
    <row r="29" spans="1:4">
      <c r="A29" s="41" t="s">
        <v>277</v>
      </c>
      <c r="B29" s="247">
        <f>B34*'ha_N2O bodem landbouw'!B4</f>
        <v>5.0111788707251597</v>
      </c>
      <c r="C29" s="247">
        <f>B29*'GWP N2O_CH4'!B4</f>
        <v>1553.4654499247995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1.1239191372101863E-3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2.3777741671863583E-5</v>
      </c>
      <c r="C5" s="464" t="s">
        <v>211</v>
      </c>
      <c r="D5" s="449">
        <f>SUM(D6:D11)</f>
        <v>6.1551664789643508E-5</v>
      </c>
      <c r="E5" s="449">
        <f>SUM(E6:E11)</f>
        <v>3.9321959901106958E-4</v>
      </c>
      <c r="F5" s="462" t="s">
        <v>211</v>
      </c>
      <c r="G5" s="449">
        <f>SUM(G6:G11)</f>
        <v>0.15025857230468792</v>
      </c>
      <c r="H5" s="449">
        <f>SUM(H6:H11)</f>
        <v>2.3303086206156617E-2</v>
      </c>
      <c r="I5" s="464" t="s">
        <v>211</v>
      </c>
      <c r="J5" s="464" t="s">
        <v>211</v>
      </c>
      <c r="K5" s="464" t="s">
        <v>211</v>
      </c>
      <c r="L5" s="464" t="s">
        <v>211</v>
      </c>
      <c r="M5" s="449">
        <f>SUM(M6:M11)</f>
        <v>9.409121692083338E-3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2.009341031369148E-5</v>
      </c>
      <c r="C6" s="450"/>
      <c r="D6" s="963">
        <f>vkm_2011_GW_PW*SUMIFS(TableVerdeelsleutelVkm[CNG],TableVerdeelsleutelVkm[Voertuigtype],"Lichte voertuigen")*SUMIFS(TableECFTransport[EnergieConsumptieFactor (PJ per km)],TableECFTransport[Index],CONCATENATE($A6,"_CNG_CNG"))</f>
        <v>4.6478270248404531E-5</v>
      </c>
      <c r="E6" s="963">
        <f>vkm_2011_GW_PW*SUMIFS(TableVerdeelsleutelVkm[LPG],TableVerdeelsleutelVkm[Voertuigtype],"Lichte voertuigen")*SUMIFS(TableECFTransport[EnergieConsumptieFactor (PJ per km)],TableECFTransport[Index],CONCATENATE($A6,"_LPG_LPG"))</f>
        <v>3.0263842841639566E-4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6.287089450272712E-2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1.7722005894465306E-2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4.1823537425147916E-3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6.1535605997520497E-2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2.1044059712489585E-5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3.5601836066003496E-3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3.6843313581721032E-6</v>
      </c>
      <c r="C8" s="450"/>
      <c r="D8" s="452">
        <f>vkm_2011_NGW_PW*SUMIFS(TableVerdeelsleutelVkm[CNG],TableVerdeelsleutelVkm[Voertuigtype],"Lichte voertuigen")*SUMIFS(TableECFTransport[EnergieConsumptieFactor (PJ per km)],TableECFTransport[Index],CONCATENATE($A8,"_CNG_CNG"))</f>
        <v>1.5073394541238978E-5</v>
      </c>
      <c r="E8" s="452">
        <f>vkm_2011_NGW_PW*SUMIFS(TableVerdeelsleutelVkm[LPG],TableVerdeelsleutelVkm[Voertuigtype],"Lichte voertuigen")*SUMIFS(TableECFTransport[EnergieConsumptieFactor (PJ per km)],TableECFTransport[Index],CONCATENATE($A8,"_LPG_LPG"))</f>
        <v>9.0581170594673945E-5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1.7590730259901412E-2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5.5573629780887703E-3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1.1886235851909493E-3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8.2613415445388933E-3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2.6732738900497317E-6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4.7796075777724686E-4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6.6049282421843287</v>
      </c>
      <c r="C14" s="21"/>
      <c r="D14" s="21">
        <f t="shared" ref="D14:M14" si="0">((D5)*10^9/3600)+D12</f>
        <v>17.097684663789863</v>
      </c>
      <c r="E14" s="21">
        <f t="shared" si="0"/>
        <v>109.22766639196377</v>
      </c>
      <c r="F14" s="21"/>
      <c r="G14" s="21">
        <f t="shared" si="0"/>
        <v>41738.492306857755</v>
      </c>
      <c r="H14" s="21">
        <f t="shared" si="0"/>
        <v>6473.0795017101709</v>
      </c>
      <c r="I14" s="21"/>
      <c r="J14" s="21"/>
      <c r="K14" s="21"/>
      <c r="L14" s="21"/>
      <c r="M14" s="21">
        <f t="shared" si="0"/>
        <v>2613.6449144675939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0.2138249981822386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1.4122987693788804</v>
      </c>
      <c r="C18" s="23"/>
      <c r="D18" s="23">
        <f t="shared" ref="D18:M18" si="1">D14*D16</f>
        <v>3.4537323020855526</v>
      </c>
      <c r="E18" s="23">
        <f t="shared" si="1"/>
        <v>24.794680270975775</v>
      </c>
      <c r="F18" s="23"/>
      <c r="G18" s="23">
        <f t="shared" si="1"/>
        <v>11144.177445931022</v>
      </c>
      <c r="H18" s="23">
        <f t="shared" si="1"/>
        <v>1611.7967959258326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2.0991047221414708E-3</v>
      </c>
      <c r="H50" s="321">
        <f t="shared" si="2"/>
        <v>0</v>
      </c>
      <c r="I50" s="321">
        <f t="shared" si="2"/>
        <v>0</v>
      </c>
      <c r="J50" s="321">
        <f t="shared" si="2"/>
        <v>0</v>
      </c>
      <c r="K50" s="321">
        <f t="shared" si="2"/>
        <v>0</v>
      </c>
      <c r="L50" s="321">
        <f t="shared" si="2"/>
        <v>0</v>
      </c>
      <c r="M50" s="321">
        <f t="shared" si="2"/>
        <v>1.1970582308290426E-4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2.0991047221414708E-3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1.1970582308290426E-4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583.08464503929747</v>
      </c>
      <c r="H54" s="21">
        <f t="shared" si="3"/>
        <v>0</v>
      </c>
      <c r="I54" s="21">
        <f t="shared" si="3"/>
        <v>0</v>
      </c>
      <c r="J54" s="21">
        <f t="shared" si="3"/>
        <v>0</v>
      </c>
      <c r="K54" s="21">
        <f t="shared" si="3"/>
        <v>0</v>
      </c>
      <c r="L54" s="21">
        <f t="shared" si="3"/>
        <v>0</v>
      </c>
      <c r="M54" s="21">
        <f t="shared" si="3"/>
        <v>33.251617523028962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0.2138249981822386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155.68360022549243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3397.302430849606</v>
      </c>
      <c r="C6" s="1216"/>
      <c r="D6" s="1201"/>
      <c r="E6" s="1201"/>
      <c r="F6" s="1219"/>
      <c r="G6" s="1222"/>
      <c r="H6" s="1213"/>
      <c r="I6" s="1201"/>
      <c r="J6" s="1201"/>
      <c r="K6" s="1201"/>
      <c r="L6" s="1205"/>
      <c r="M6" s="576"/>
      <c r="N6" s="1179"/>
      <c r="O6" s="1180"/>
      <c r="Q6" s="574"/>
      <c r="R6" s="1167"/>
      <c r="S6" s="1167"/>
    </row>
    <row r="7" spans="1:19" s="564" customFormat="1">
      <c r="A7" s="577" t="s">
        <v>252</v>
      </c>
      <c r="B7" s="578">
        <f>N57</f>
        <v>21996</v>
      </c>
      <c r="C7" s="579">
        <f>B100</f>
        <v>25877.647058823532</v>
      </c>
      <c r="D7" s="580"/>
      <c r="E7" s="580">
        <f>E100</f>
        <v>0</v>
      </c>
      <c r="F7" s="581"/>
      <c r="G7" s="582"/>
      <c r="H7" s="580">
        <f>I100</f>
        <v>0</v>
      </c>
      <c r="I7" s="580">
        <f>G100+F100</f>
        <v>0</v>
      </c>
      <c r="J7" s="580">
        <f>H100+D100+C100</f>
        <v>0</v>
      </c>
      <c r="K7" s="580"/>
      <c r="L7" s="583"/>
      <c r="M7" s="584">
        <f>C7*$C$11+D7*$D$11+E7*$E$11+F7*$F$11+G7*$G$11+H7*$H$11+I7*$I$11+J7*$J$11</f>
        <v>5227.2847058823536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25393.302430849606</v>
      </c>
      <c r="C9" s="595">
        <f t="shared" ref="C9:L9" si="0">SUM(C7:C8)</f>
        <v>25877.647058823532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5227.2847058823536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31422.857142857145</v>
      </c>
      <c r="C16" s="611">
        <f>B101</f>
        <v>36968.067226890758</v>
      </c>
      <c r="D16" s="612"/>
      <c r="E16" s="612">
        <f>E101</f>
        <v>0</v>
      </c>
      <c r="F16" s="613"/>
      <c r="G16" s="614"/>
      <c r="H16" s="611">
        <f>I101</f>
        <v>0</v>
      </c>
      <c r="I16" s="612">
        <f>G101+F101</f>
        <v>0</v>
      </c>
      <c r="J16" s="612">
        <f>H101+D101+C101</f>
        <v>0</v>
      </c>
      <c r="K16" s="612"/>
      <c r="L16" s="615"/>
      <c r="M16" s="616">
        <f>C16*$C$21+E16*$E$21+H16*$H$21+I16*$I$21+J16*$J$21+D16*$D$21+F16*$F$21+G16*$G$21+K16*$K$21+L16*$L$21</f>
        <v>7467.5495798319334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31422.857142857145</v>
      </c>
      <c r="C19" s="594">
        <f>SUM(C16:C18)</f>
        <v>36968.067226890758</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7467.5495798319334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36007</v>
      </c>
      <c r="C27" s="852">
        <v>8770</v>
      </c>
      <c r="D27" s="673" t="s">
        <v>834</v>
      </c>
      <c r="E27" s="672" t="s">
        <v>835</v>
      </c>
      <c r="F27" s="672" t="s">
        <v>836</v>
      </c>
      <c r="G27" s="672" t="s">
        <v>837</v>
      </c>
      <c r="H27" s="672" t="s">
        <v>838</v>
      </c>
      <c r="I27" s="672" t="s">
        <v>835</v>
      </c>
      <c r="J27" s="851">
        <v>41810</v>
      </c>
      <c r="K27" s="851">
        <v>40550</v>
      </c>
      <c r="L27" s="672" t="s">
        <v>839</v>
      </c>
      <c r="M27" s="672">
        <v>3488</v>
      </c>
      <c r="N27" s="672">
        <v>15696</v>
      </c>
      <c r="O27" s="672">
        <v>22422.857142857145</v>
      </c>
      <c r="P27" s="672">
        <v>44845.71428571429</v>
      </c>
      <c r="Q27" s="672">
        <v>0</v>
      </c>
      <c r="R27" s="672">
        <v>0</v>
      </c>
      <c r="S27" s="672">
        <v>0</v>
      </c>
      <c r="T27" s="672">
        <v>0</v>
      </c>
      <c r="U27" s="672">
        <v>0</v>
      </c>
      <c r="V27" s="672">
        <v>0</v>
      </c>
      <c r="W27" s="672">
        <v>0</v>
      </c>
      <c r="X27" s="672">
        <v>10</v>
      </c>
      <c r="Y27" s="672" t="s">
        <v>112</v>
      </c>
      <c r="Z27" s="674" t="s">
        <v>112</v>
      </c>
    </row>
    <row r="28" spans="1:26" s="626" customFormat="1" ht="25.5">
      <c r="A28" s="625"/>
      <c r="B28" s="852">
        <v>36007</v>
      </c>
      <c r="C28" s="852">
        <v>8770</v>
      </c>
      <c r="D28" s="673" t="s">
        <v>840</v>
      </c>
      <c r="E28" s="672" t="s">
        <v>841</v>
      </c>
      <c r="F28" s="672" t="s">
        <v>842</v>
      </c>
      <c r="G28" s="672" t="s">
        <v>837</v>
      </c>
      <c r="H28" s="672" t="s">
        <v>838</v>
      </c>
      <c r="I28" s="672" t="s">
        <v>841</v>
      </c>
      <c r="J28" s="851">
        <v>40681</v>
      </c>
      <c r="K28" s="851">
        <v>40681</v>
      </c>
      <c r="L28" s="672" t="s">
        <v>839</v>
      </c>
      <c r="M28" s="672">
        <v>1400</v>
      </c>
      <c r="N28" s="672">
        <v>6300</v>
      </c>
      <c r="O28" s="672">
        <v>9000</v>
      </c>
      <c r="P28" s="672">
        <v>18000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4888</v>
      </c>
      <c r="N57" s="630">
        <f>SUM(N27:N56)</f>
        <v>21996</v>
      </c>
      <c r="O57" s="630">
        <f t="shared" ref="O57:W57" si="2">SUM(O27:O56)</f>
        <v>31422.857142857145</v>
      </c>
      <c r="P57" s="630">
        <f t="shared" si="2"/>
        <v>62845.71428571429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4888</v>
      </c>
      <c r="N60" s="635">
        <f t="shared" ref="N60:W60" si="4">SUMIF($Z$27:$Z$56,"landbouw",N27:N56)</f>
        <v>21996</v>
      </c>
      <c r="O60" s="635">
        <f t="shared" si="4"/>
        <v>31422.857142857145</v>
      </c>
      <c r="P60" s="635">
        <f t="shared" si="4"/>
        <v>62845.71428571429</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25877.647058823532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36968.067226890758</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12870.9226</v>
      </c>
      <c r="D10" s="719">
        <f ca="1">tertiair!C16</f>
        <v>0</v>
      </c>
      <c r="E10" s="719">
        <f ca="1">tertiair!D16</f>
        <v>9619.7327617578812</v>
      </c>
      <c r="F10" s="719">
        <f>tertiair!E16</f>
        <v>124.96695737420241</v>
      </c>
      <c r="G10" s="719">
        <f ca="1">tertiair!F16</f>
        <v>1728.8712038017188</v>
      </c>
      <c r="H10" s="719">
        <f>tertiair!G16</f>
        <v>0</v>
      </c>
      <c r="I10" s="719">
        <f>tertiair!H16</f>
        <v>0</v>
      </c>
      <c r="J10" s="719">
        <f>tertiair!I16</f>
        <v>0</v>
      </c>
      <c r="K10" s="719">
        <f>tertiair!J16</f>
        <v>0</v>
      </c>
      <c r="L10" s="719">
        <f>tertiair!K16</f>
        <v>0</v>
      </c>
      <c r="M10" s="719">
        <f ca="1">tertiair!L16</f>
        <v>0</v>
      </c>
      <c r="N10" s="719">
        <f>tertiair!M16</f>
        <v>0</v>
      </c>
      <c r="O10" s="719">
        <f ca="1">tertiair!N16</f>
        <v>758.82040648999964</v>
      </c>
      <c r="P10" s="719">
        <f>tertiair!O16</f>
        <v>1.5633333333333335</v>
      </c>
      <c r="Q10" s="720">
        <f>tertiair!P16</f>
        <v>19.066666666666666</v>
      </c>
      <c r="R10" s="722">
        <f ca="1">SUM(C10:Q10)</f>
        <v>25123.9439294238</v>
      </c>
      <c r="S10" s="67"/>
    </row>
    <row r="11" spans="1:19" s="475" customFormat="1">
      <c r="A11" s="871" t="s">
        <v>225</v>
      </c>
      <c r="B11" s="876"/>
      <c r="C11" s="719">
        <f>huishoudens!B8</f>
        <v>18120.204500253156</v>
      </c>
      <c r="D11" s="719">
        <f>huishoudens!C8</f>
        <v>0</v>
      </c>
      <c r="E11" s="719">
        <f>huishoudens!D8</f>
        <v>37844.295857539837</v>
      </c>
      <c r="F11" s="719">
        <f>huishoudens!E8</f>
        <v>1857.3114688852875</v>
      </c>
      <c r="G11" s="719">
        <f>huishoudens!F8</f>
        <v>11988.228657749336</v>
      </c>
      <c r="H11" s="719">
        <f>huishoudens!G8</f>
        <v>0</v>
      </c>
      <c r="I11" s="719">
        <f>huishoudens!H8</f>
        <v>0</v>
      </c>
      <c r="J11" s="719">
        <f>huishoudens!I8</f>
        <v>0</v>
      </c>
      <c r="K11" s="719">
        <f>huishoudens!J8</f>
        <v>1688.3627401115505</v>
      </c>
      <c r="L11" s="719">
        <f>huishoudens!K8</f>
        <v>0</v>
      </c>
      <c r="M11" s="719">
        <f>huishoudens!L8</f>
        <v>0</v>
      </c>
      <c r="N11" s="719">
        <f>huishoudens!M8</f>
        <v>0</v>
      </c>
      <c r="O11" s="719">
        <f>huishoudens!N8</f>
        <v>10744.183693758403</v>
      </c>
      <c r="P11" s="719">
        <f>huishoudens!O8</f>
        <v>187.6</v>
      </c>
      <c r="Q11" s="720">
        <f>huishoudens!P8</f>
        <v>228.8</v>
      </c>
      <c r="R11" s="722">
        <f>SUM(C11:Q11)</f>
        <v>82658.986918297582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19261.596799999999</v>
      </c>
      <c r="D13" s="719">
        <f>industrie!C18</f>
        <v>0</v>
      </c>
      <c r="E13" s="719">
        <f>industrie!D18</f>
        <v>17767.408820374316</v>
      </c>
      <c r="F13" s="719">
        <f>industrie!E18</f>
        <v>1218.6232050886649</v>
      </c>
      <c r="G13" s="719">
        <f>industrie!F18</f>
        <v>15792.769541575848</v>
      </c>
      <c r="H13" s="719">
        <f>industrie!G18</f>
        <v>0</v>
      </c>
      <c r="I13" s="719">
        <f>industrie!H18</f>
        <v>0</v>
      </c>
      <c r="J13" s="719">
        <f>industrie!I18</f>
        <v>0</v>
      </c>
      <c r="K13" s="719">
        <f>industrie!J18</f>
        <v>186.53312590633772</v>
      </c>
      <c r="L13" s="719">
        <f>industrie!K18</f>
        <v>0</v>
      </c>
      <c r="M13" s="719">
        <f>industrie!L18</f>
        <v>0</v>
      </c>
      <c r="N13" s="719">
        <f>industrie!M18</f>
        <v>0</v>
      </c>
      <c r="O13" s="719">
        <f>industrie!N18</f>
        <v>5811.6682052809174</v>
      </c>
      <c r="P13" s="719">
        <f>industrie!O18</f>
        <v>0</v>
      </c>
      <c r="Q13" s="720">
        <f>industrie!P18</f>
        <v>0</v>
      </c>
      <c r="R13" s="722">
        <f>SUM(C13:Q13)</f>
        <v>60038.599698226091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50252.723900253157</v>
      </c>
      <c r="D15" s="724">
        <f t="shared" ref="D15:Q15" ca="1" si="0">SUM(D9:D14)</f>
        <v>0</v>
      </c>
      <c r="E15" s="724">
        <f t="shared" ca="1" si="0"/>
        <v>65231.437439672038</v>
      </c>
      <c r="F15" s="724">
        <f t="shared" si="0"/>
        <v>3200.9016313481548</v>
      </c>
      <c r="G15" s="724">
        <f t="shared" ca="1" si="0"/>
        <v>29509.869403126904</v>
      </c>
      <c r="H15" s="724">
        <f t="shared" si="0"/>
        <v>0</v>
      </c>
      <c r="I15" s="724">
        <f t="shared" si="0"/>
        <v>0</v>
      </c>
      <c r="J15" s="724">
        <f t="shared" si="0"/>
        <v>0</v>
      </c>
      <c r="K15" s="724">
        <f t="shared" si="0"/>
        <v>1874.8958660178882</v>
      </c>
      <c r="L15" s="724">
        <f t="shared" si="0"/>
        <v>0</v>
      </c>
      <c r="M15" s="724">
        <f t="shared" ca="1" si="0"/>
        <v>0</v>
      </c>
      <c r="N15" s="724">
        <f t="shared" si="0"/>
        <v>0</v>
      </c>
      <c r="O15" s="724">
        <f t="shared" ca="1" si="0"/>
        <v>17314.672305529319</v>
      </c>
      <c r="P15" s="724">
        <f t="shared" si="0"/>
        <v>189.16333333333333</v>
      </c>
      <c r="Q15" s="725">
        <f t="shared" si="0"/>
        <v>247.86666666666667</v>
      </c>
      <c r="R15" s="726">
        <f ca="1">SUM(R9:R14)</f>
        <v>167821.53054594746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583.08464503929747</v>
      </c>
      <c r="I18" s="719">
        <f>transport!H54</f>
        <v>0</v>
      </c>
      <c r="J18" s="719">
        <f>transport!I54</f>
        <v>0</v>
      </c>
      <c r="K18" s="719">
        <f>transport!J54</f>
        <v>0</v>
      </c>
      <c r="L18" s="719">
        <f>transport!K54</f>
        <v>0</v>
      </c>
      <c r="M18" s="719">
        <f>transport!L54</f>
        <v>0</v>
      </c>
      <c r="N18" s="719">
        <f>transport!M54</f>
        <v>33.251617523028962</v>
      </c>
      <c r="O18" s="719">
        <f>transport!N54</f>
        <v>0</v>
      </c>
      <c r="P18" s="719">
        <f>transport!O54</f>
        <v>0</v>
      </c>
      <c r="Q18" s="720">
        <f>transport!P54</f>
        <v>0</v>
      </c>
      <c r="R18" s="722">
        <f>SUM(C18:Q18)</f>
        <v>616.3362625623264</v>
      </c>
      <c r="S18" s="67"/>
    </row>
    <row r="19" spans="1:19" s="475" customFormat="1" ht="15" thickBot="1">
      <c r="A19" s="871" t="s">
        <v>307</v>
      </c>
      <c r="B19" s="876"/>
      <c r="C19" s="728">
        <f>transport!B14</f>
        <v>6.6049282421843287</v>
      </c>
      <c r="D19" s="728">
        <f>transport!C14</f>
        <v>0</v>
      </c>
      <c r="E19" s="728">
        <f>transport!D14</f>
        <v>17.097684663789863</v>
      </c>
      <c r="F19" s="728">
        <f>transport!E14</f>
        <v>109.22766639196377</v>
      </c>
      <c r="G19" s="728">
        <f>transport!F14</f>
        <v>0</v>
      </c>
      <c r="H19" s="728">
        <f>transport!G14</f>
        <v>41738.492306857755</v>
      </c>
      <c r="I19" s="728">
        <f>transport!H14</f>
        <v>6473.0795017101709</v>
      </c>
      <c r="J19" s="728">
        <f>transport!I14</f>
        <v>0</v>
      </c>
      <c r="K19" s="728">
        <f>transport!J14</f>
        <v>0</v>
      </c>
      <c r="L19" s="728">
        <f>transport!K14</f>
        <v>0</v>
      </c>
      <c r="M19" s="728">
        <f>transport!L14</f>
        <v>0</v>
      </c>
      <c r="N19" s="728">
        <f>transport!M14</f>
        <v>2613.6449144675939</v>
      </c>
      <c r="O19" s="728">
        <f>transport!N14</f>
        <v>0</v>
      </c>
      <c r="P19" s="728">
        <f>transport!O14</f>
        <v>0</v>
      </c>
      <c r="Q19" s="729">
        <f>transport!P14</f>
        <v>0</v>
      </c>
      <c r="R19" s="730">
        <f>SUM(C19:Q19)</f>
        <v>50958.147002333455</v>
      </c>
      <c r="S19" s="67"/>
    </row>
    <row r="20" spans="1:19" s="475" customFormat="1" ht="15.75" thickBot="1">
      <c r="A20" s="731" t="s">
        <v>230</v>
      </c>
      <c r="B20" s="879"/>
      <c r="C20" s="874">
        <f>SUM(C17:C19)</f>
        <v>6.6049282421843287</v>
      </c>
      <c r="D20" s="732">
        <f t="shared" ref="D20:R20" si="1">SUM(D17:D19)</f>
        <v>0</v>
      </c>
      <c r="E20" s="732">
        <f t="shared" si="1"/>
        <v>17.097684663789863</v>
      </c>
      <c r="F20" s="732">
        <f t="shared" si="1"/>
        <v>109.22766639196377</v>
      </c>
      <c r="G20" s="732">
        <f t="shared" si="1"/>
        <v>0</v>
      </c>
      <c r="H20" s="732">
        <f t="shared" si="1"/>
        <v>42321.576951897056</v>
      </c>
      <c r="I20" s="732">
        <f t="shared" si="1"/>
        <v>6473.0795017101709</v>
      </c>
      <c r="J20" s="732">
        <f t="shared" si="1"/>
        <v>0</v>
      </c>
      <c r="K20" s="732">
        <f t="shared" si="1"/>
        <v>0</v>
      </c>
      <c r="L20" s="732">
        <f t="shared" si="1"/>
        <v>0</v>
      </c>
      <c r="M20" s="732">
        <f t="shared" si="1"/>
        <v>0</v>
      </c>
      <c r="N20" s="732">
        <f t="shared" si="1"/>
        <v>2646.8965319906229</v>
      </c>
      <c r="O20" s="732">
        <f t="shared" si="1"/>
        <v>0</v>
      </c>
      <c r="P20" s="732">
        <f t="shared" si="1"/>
        <v>0</v>
      </c>
      <c r="Q20" s="733">
        <f t="shared" si="1"/>
        <v>0</v>
      </c>
      <c r="R20" s="734">
        <f t="shared" si="1"/>
        <v>51574.483264895782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3348.3413999999998</v>
      </c>
      <c r="D22" s="728">
        <f>+landbouw!C8</f>
        <v>31422.857142857145</v>
      </c>
      <c r="E22" s="728">
        <f>+landbouw!D8</f>
        <v>0</v>
      </c>
      <c r="F22" s="728">
        <f>+landbouw!E8</f>
        <v>31.013740461090933</v>
      </c>
      <c r="G22" s="728">
        <f>+landbouw!F8</f>
        <v>8495.3799901821149</v>
      </c>
      <c r="H22" s="728">
        <f>+landbouw!G8</f>
        <v>0</v>
      </c>
      <c r="I22" s="728">
        <f>+landbouw!H8</f>
        <v>0</v>
      </c>
      <c r="J22" s="728">
        <f>+landbouw!I8</f>
        <v>0</v>
      </c>
      <c r="K22" s="728">
        <f>+landbouw!J8</f>
        <v>513.33810421908481</v>
      </c>
      <c r="L22" s="728">
        <f>+landbouw!K8</f>
        <v>0</v>
      </c>
      <c r="M22" s="728">
        <f>+landbouw!L8</f>
        <v>0</v>
      </c>
      <c r="N22" s="728">
        <f>+landbouw!M8</f>
        <v>0</v>
      </c>
      <c r="O22" s="728">
        <f>+landbouw!N8</f>
        <v>0</v>
      </c>
      <c r="P22" s="728">
        <f>+landbouw!O8</f>
        <v>0</v>
      </c>
      <c r="Q22" s="729">
        <f>+landbouw!P8</f>
        <v>0</v>
      </c>
      <c r="R22" s="730">
        <f>SUM(C22:Q22)</f>
        <v>43810.930377719436</v>
      </c>
      <c r="S22" s="67"/>
    </row>
    <row r="23" spans="1:19" s="475" customFormat="1" ht="17.25" thickTop="1" thickBot="1">
      <c r="A23" s="735" t="s">
        <v>116</v>
      </c>
      <c r="B23" s="865"/>
      <c r="C23" s="736">
        <f ca="1">C20+C15+C22</f>
        <v>53607.670228495335</v>
      </c>
      <c r="D23" s="736">
        <f t="shared" ref="D23:Q23" ca="1" si="2">D20+D15+D22</f>
        <v>31422.857142857145</v>
      </c>
      <c r="E23" s="736">
        <f t="shared" ca="1" si="2"/>
        <v>65248.535124335831</v>
      </c>
      <c r="F23" s="736">
        <f t="shared" si="2"/>
        <v>3341.1430382012095</v>
      </c>
      <c r="G23" s="736">
        <f t="shared" ca="1" si="2"/>
        <v>38005.249393309015</v>
      </c>
      <c r="H23" s="736">
        <f t="shared" si="2"/>
        <v>42321.576951897056</v>
      </c>
      <c r="I23" s="736">
        <f t="shared" si="2"/>
        <v>6473.0795017101709</v>
      </c>
      <c r="J23" s="736">
        <f t="shared" si="2"/>
        <v>0</v>
      </c>
      <c r="K23" s="736">
        <f t="shared" si="2"/>
        <v>2388.2339702369732</v>
      </c>
      <c r="L23" s="736">
        <f t="shared" si="2"/>
        <v>0</v>
      </c>
      <c r="M23" s="736">
        <f t="shared" ca="1" si="2"/>
        <v>0</v>
      </c>
      <c r="N23" s="736">
        <f t="shared" si="2"/>
        <v>2646.8965319906229</v>
      </c>
      <c r="O23" s="736">
        <f t="shared" ca="1" si="2"/>
        <v>17314.672305529319</v>
      </c>
      <c r="P23" s="736">
        <f t="shared" si="2"/>
        <v>189.16333333333333</v>
      </c>
      <c r="Q23" s="737">
        <f t="shared" si="2"/>
        <v>247.86666666666667</v>
      </c>
      <c r="R23" s="738">
        <f ca="1">R20+R15+R22</f>
        <v>263206.94418856269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2752.125001548734</v>
      </c>
      <c r="D36" s="719">
        <f ca="1">tertiair!C20</f>
        <v>0</v>
      </c>
      <c r="E36" s="719">
        <f ca="1">tertiair!D20</f>
        <v>1943.1860178750921</v>
      </c>
      <c r="F36" s="719">
        <f>tertiair!E20</f>
        <v>28.367499323943946</v>
      </c>
      <c r="G36" s="719">
        <f ca="1">tertiair!F20</f>
        <v>461.60861141505893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5185.2871301628293</v>
      </c>
    </row>
    <row r="37" spans="1:18">
      <c r="A37" s="886" t="s">
        <v>225</v>
      </c>
      <c r="B37" s="893"/>
      <c r="C37" s="719">
        <f ca="1">huishoudens!B12</f>
        <v>3874.5526943284226</v>
      </c>
      <c r="D37" s="719">
        <f ca="1">huishoudens!C12</f>
        <v>0</v>
      </c>
      <c r="E37" s="719">
        <f>huishoudens!D12</f>
        <v>7644.5477632230477</v>
      </c>
      <c r="F37" s="719">
        <f>huishoudens!E12</f>
        <v>421.60970343696027</v>
      </c>
      <c r="G37" s="719">
        <f>huishoudens!F12</f>
        <v>3200.857051619073</v>
      </c>
      <c r="H37" s="719">
        <f>huishoudens!G12</f>
        <v>0</v>
      </c>
      <c r="I37" s="719">
        <f>huishoudens!H12</f>
        <v>0</v>
      </c>
      <c r="J37" s="719">
        <f>huishoudens!I12</f>
        <v>0</v>
      </c>
      <c r="K37" s="719">
        <f>huishoudens!J12</f>
        <v>597.6804099994888</v>
      </c>
      <c r="L37" s="719">
        <f>huishoudens!K12</f>
        <v>0</v>
      </c>
      <c r="M37" s="719">
        <f>huishoudens!L12</f>
        <v>0</v>
      </c>
      <c r="N37" s="719">
        <f>huishoudens!M12</f>
        <v>0</v>
      </c>
      <c r="O37" s="719">
        <f>huishoudens!N12</f>
        <v>0</v>
      </c>
      <c r="P37" s="719">
        <f>huishoudens!O12</f>
        <v>0</v>
      </c>
      <c r="Q37" s="829">
        <f>huishoudens!P12</f>
        <v>0</v>
      </c>
      <c r="R37" s="918">
        <f ca="1">SUM(C37:Q37)</f>
        <v>15739.247622606992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4118.6109007470131</v>
      </c>
      <c r="D39" s="719">
        <f ca="1">industrie!C22</f>
        <v>0</v>
      </c>
      <c r="E39" s="719">
        <f>industrie!D22</f>
        <v>3589.0165817156121</v>
      </c>
      <c r="F39" s="719">
        <f>industrie!E22</f>
        <v>276.62746755512694</v>
      </c>
      <c r="G39" s="719">
        <f>industrie!F22</f>
        <v>4216.6694676007519</v>
      </c>
      <c r="H39" s="719">
        <f>industrie!G22</f>
        <v>0</v>
      </c>
      <c r="I39" s="719">
        <f>industrie!H22</f>
        <v>0</v>
      </c>
      <c r="J39" s="719">
        <f>industrie!I22</f>
        <v>0</v>
      </c>
      <c r="K39" s="719">
        <f>industrie!J22</f>
        <v>66.03272657084355</v>
      </c>
      <c r="L39" s="719">
        <f>industrie!K22</f>
        <v>0</v>
      </c>
      <c r="M39" s="719">
        <f>industrie!L22</f>
        <v>0</v>
      </c>
      <c r="N39" s="719">
        <f>industrie!M22</f>
        <v>0</v>
      </c>
      <c r="O39" s="719">
        <f>industrie!N22</f>
        <v>0</v>
      </c>
      <c r="P39" s="719">
        <f>industrie!O22</f>
        <v>0</v>
      </c>
      <c r="Q39" s="829">
        <f>industrie!P22</f>
        <v>0</v>
      </c>
      <c r="R39" s="919">
        <f ca="1">SUM(C39:Q39)</f>
        <v>12266.957144189348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10745.28859662417</v>
      </c>
      <c r="D41" s="764">
        <f t="shared" ref="D41:R41" ca="1" si="4">SUM(D35:D40)</f>
        <v>0</v>
      </c>
      <c r="E41" s="764">
        <f t="shared" ca="1" si="4"/>
        <v>13176.750362813753</v>
      </c>
      <c r="F41" s="764">
        <f t="shared" si="4"/>
        <v>726.60467031603116</v>
      </c>
      <c r="G41" s="764">
        <f t="shared" ca="1" si="4"/>
        <v>7879.1351306348843</v>
      </c>
      <c r="H41" s="764">
        <f t="shared" si="4"/>
        <v>0</v>
      </c>
      <c r="I41" s="764">
        <f t="shared" si="4"/>
        <v>0</v>
      </c>
      <c r="J41" s="764">
        <f t="shared" si="4"/>
        <v>0</v>
      </c>
      <c r="K41" s="764">
        <f t="shared" si="4"/>
        <v>663.71313657033238</v>
      </c>
      <c r="L41" s="764">
        <f t="shared" si="4"/>
        <v>0</v>
      </c>
      <c r="M41" s="764">
        <f t="shared" ca="1" si="4"/>
        <v>0</v>
      </c>
      <c r="N41" s="764">
        <f t="shared" si="4"/>
        <v>0</v>
      </c>
      <c r="O41" s="764">
        <f t="shared" ca="1" si="4"/>
        <v>0</v>
      </c>
      <c r="P41" s="764">
        <f t="shared" si="4"/>
        <v>0</v>
      </c>
      <c r="Q41" s="765">
        <f t="shared" si="4"/>
        <v>0</v>
      </c>
      <c r="R41" s="766">
        <f t="shared" ca="1" si="4"/>
        <v>33191.491896959167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155.68360022549243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155.68360022549243</v>
      </c>
    </row>
    <row r="45" spans="1:18" ht="15" thickBot="1">
      <c r="A45" s="889" t="s">
        <v>307</v>
      </c>
      <c r="B45" s="899"/>
      <c r="C45" s="728">
        <f ca="1">transport!B18</f>
        <v>1.4122987693788804</v>
      </c>
      <c r="D45" s="728">
        <f>transport!C18</f>
        <v>0</v>
      </c>
      <c r="E45" s="728">
        <f>transport!D18</f>
        <v>3.4537323020855526</v>
      </c>
      <c r="F45" s="728">
        <f>transport!E18</f>
        <v>24.794680270975775</v>
      </c>
      <c r="G45" s="728">
        <f>transport!F18</f>
        <v>0</v>
      </c>
      <c r="H45" s="728">
        <f>transport!G18</f>
        <v>11144.177445931022</v>
      </c>
      <c r="I45" s="728">
        <f>transport!H18</f>
        <v>1611.7967959258326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12785.634953199295</v>
      </c>
    </row>
    <row r="46" spans="1:18" ht="15.75" thickBot="1">
      <c r="A46" s="887" t="s">
        <v>230</v>
      </c>
      <c r="B46" s="900"/>
      <c r="C46" s="764">
        <f t="shared" ref="C46:R46" ca="1" si="5">SUM(C43:C45)</f>
        <v>1.4122987693788804</v>
      </c>
      <c r="D46" s="764">
        <f t="shared" ca="1" si="5"/>
        <v>0</v>
      </c>
      <c r="E46" s="764">
        <f t="shared" si="5"/>
        <v>3.4537323020855526</v>
      </c>
      <c r="F46" s="764">
        <f t="shared" si="5"/>
        <v>24.794680270975775</v>
      </c>
      <c r="G46" s="764">
        <f t="shared" si="5"/>
        <v>0</v>
      </c>
      <c r="H46" s="764">
        <f t="shared" si="5"/>
        <v>11299.861046156515</v>
      </c>
      <c r="I46" s="764">
        <f t="shared" si="5"/>
        <v>1611.7967959258326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12941.318553424788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715.95909376851421</v>
      </c>
      <c r="D48" s="719">
        <f ca="1">+landbouw!C12</f>
        <v>7467.5495798319334</v>
      </c>
      <c r="E48" s="719">
        <f>+landbouw!D12</f>
        <v>0</v>
      </c>
      <c r="F48" s="719">
        <f>+landbouw!E12</f>
        <v>7.0401190846676416</v>
      </c>
      <c r="G48" s="719">
        <f>+landbouw!F12</f>
        <v>2268.2664573786246</v>
      </c>
      <c r="H48" s="719">
        <f>+landbouw!G12</f>
        <v>0</v>
      </c>
      <c r="I48" s="719">
        <f>+landbouw!H12</f>
        <v>0</v>
      </c>
      <c r="J48" s="719">
        <f>+landbouw!I12</f>
        <v>0</v>
      </c>
      <c r="K48" s="719">
        <f>+landbouw!J12</f>
        <v>181.72168889355601</v>
      </c>
      <c r="L48" s="719">
        <f>+landbouw!K12</f>
        <v>0</v>
      </c>
      <c r="M48" s="719">
        <f>+landbouw!L12</f>
        <v>0</v>
      </c>
      <c r="N48" s="719">
        <f>+landbouw!M12</f>
        <v>0</v>
      </c>
      <c r="O48" s="719">
        <f>+landbouw!N12</f>
        <v>0</v>
      </c>
      <c r="P48" s="719">
        <f>+landbouw!O12</f>
        <v>0</v>
      </c>
      <c r="Q48" s="720">
        <f>+landbouw!P12</f>
        <v>0</v>
      </c>
      <c r="R48" s="762">
        <f ca="1">SUM(C48:Q48)</f>
        <v>10640.536938957297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11462.659989162063</v>
      </c>
      <c r="D53" s="774">
        <f t="shared" ref="D53:Q53" ca="1" si="6">D41+D46+D48</f>
        <v>7467.5495798319334</v>
      </c>
      <c r="E53" s="774">
        <f t="shared" ca="1" si="6"/>
        <v>13180.204095115838</v>
      </c>
      <c r="F53" s="774">
        <f t="shared" si="6"/>
        <v>758.43946967167449</v>
      </c>
      <c r="G53" s="774">
        <f t="shared" ca="1" si="6"/>
        <v>10147.401588013508</v>
      </c>
      <c r="H53" s="774">
        <f t="shared" si="6"/>
        <v>11299.861046156515</v>
      </c>
      <c r="I53" s="774">
        <f t="shared" si="6"/>
        <v>1611.7967959258326</v>
      </c>
      <c r="J53" s="774">
        <f t="shared" si="6"/>
        <v>0</v>
      </c>
      <c r="K53" s="774">
        <f t="shared" si="6"/>
        <v>845.43482546388839</v>
      </c>
      <c r="L53" s="774">
        <f t="shared" si="6"/>
        <v>0</v>
      </c>
      <c r="M53" s="774">
        <f t="shared" ca="1" si="6"/>
        <v>0</v>
      </c>
      <c r="N53" s="774">
        <f t="shared" si="6"/>
        <v>0</v>
      </c>
      <c r="O53" s="774">
        <f t="shared" ca="1" si="6"/>
        <v>0</v>
      </c>
      <c r="P53" s="774">
        <f>P41+P46+P48</f>
        <v>0</v>
      </c>
      <c r="Q53" s="775">
        <f t="shared" si="6"/>
        <v>0</v>
      </c>
      <c r="R53" s="776">
        <f ca="1">R41+R46+R48</f>
        <v>56773.347389341252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0.21382499818223863</v>
      </c>
      <c r="D55" s="837">
        <f t="shared" ca="1" si="7"/>
        <v>0.23764705882352941</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3397.302430849606</v>
      </c>
      <c r="C66" s="796">
        <f>'lokale energieproductie'!B6</f>
        <v>3397.302430849606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21996</v>
      </c>
      <c r="C67" s="795">
        <f>B67*IFERROR(SUM(J67:L67)/SUM(D67:M67),0)</f>
        <v>0</v>
      </c>
      <c r="D67" s="827">
        <f>'lokale energieproductie'!C7</f>
        <v>25877.647058823532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5227.2847058823536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25393.302430849606</v>
      </c>
      <c r="C69" s="804">
        <f>SUM(C64:C68)</f>
        <v>3397.302430849606</v>
      </c>
      <c r="D69" s="805">
        <f t="shared" ref="D69:M69" si="8">SUM(D67:D68)</f>
        <v>25877.647058823532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5227.2847058823536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31422.857142857145</v>
      </c>
      <c r="C78" s="818">
        <f>B78*IFERROR(SUM(I78:L78)/SUM(D78:M78),0)</f>
        <v>0</v>
      </c>
      <c r="D78" s="833">
        <f>'lokale energieproductie'!C16</f>
        <v>36968.067226890758</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7467.5495798319334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31422.857142857145</v>
      </c>
      <c r="C81" s="804">
        <f>SUM(C78:C80)</f>
        <v>0</v>
      </c>
      <c r="D81" s="804">
        <f t="shared" ref="D81:P81" si="9">SUM(D78:D80)</f>
        <v>36968.067226890758</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7467.5495798319334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18120.204500253156</v>
      </c>
      <c r="C4" s="479">
        <f>huishoudens!C8</f>
        <v>0</v>
      </c>
      <c r="D4" s="479">
        <f>huishoudens!D8</f>
        <v>37844.295857539837</v>
      </c>
      <c r="E4" s="479">
        <f>huishoudens!E8</f>
        <v>1857.3114688852875</v>
      </c>
      <c r="F4" s="479">
        <f>huishoudens!F8</f>
        <v>11988.228657749336</v>
      </c>
      <c r="G4" s="479">
        <f>huishoudens!G8</f>
        <v>0</v>
      </c>
      <c r="H4" s="479">
        <f>huishoudens!H8</f>
        <v>0</v>
      </c>
      <c r="I4" s="479">
        <f>huishoudens!I8</f>
        <v>0</v>
      </c>
      <c r="J4" s="479">
        <f>huishoudens!J8</f>
        <v>1688.3627401115505</v>
      </c>
      <c r="K4" s="479">
        <f>huishoudens!K8</f>
        <v>0</v>
      </c>
      <c r="L4" s="479">
        <f>huishoudens!L8</f>
        <v>0</v>
      </c>
      <c r="M4" s="479">
        <f>huishoudens!M8</f>
        <v>0</v>
      </c>
      <c r="N4" s="479">
        <f>huishoudens!N8</f>
        <v>10744.183693758403</v>
      </c>
      <c r="O4" s="479">
        <f>huishoudens!O8</f>
        <v>187.6</v>
      </c>
      <c r="P4" s="480">
        <f>huishoudens!P8</f>
        <v>228.8</v>
      </c>
      <c r="Q4" s="481">
        <f>SUM(B4:P4)</f>
        <v>82658.986918297582</v>
      </c>
    </row>
    <row r="5" spans="1:17">
      <c r="A5" s="478" t="s">
        <v>156</v>
      </c>
      <c r="B5" s="479">
        <f ca="1">tertiair!B16</f>
        <v>11992.4426</v>
      </c>
      <c r="C5" s="479">
        <f ca="1">tertiair!C16</f>
        <v>0</v>
      </c>
      <c r="D5" s="479">
        <f ca="1">tertiair!D16</f>
        <v>9619.7327617578812</v>
      </c>
      <c r="E5" s="479">
        <f>tertiair!E16</f>
        <v>124.96695737420241</v>
      </c>
      <c r="F5" s="479">
        <f ca="1">tertiair!F16</f>
        <v>1728.8712038017188</v>
      </c>
      <c r="G5" s="479">
        <f>tertiair!G16</f>
        <v>0</v>
      </c>
      <c r="H5" s="479">
        <f>tertiair!H16</f>
        <v>0</v>
      </c>
      <c r="I5" s="479">
        <f>tertiair!I16</f>
        <v>0</v>
      </c>
      <c r="J5" s="479">
        <f>tertiair!J16</f>
        <v>0</v>
      </c>
      <c r="K5" s="479">
        <f>tertiair!K16</f>
        <v>0</v>
      </c>
      <c r="L5" s="479">
        <f ca="1">tertiair!L16</f>
        <v>0</v>
      </c>
      <c r="M5" s="479">
        <f>tertiair!M16</f>
        <v>0</v>
      </c>
      <c r="N5" s="479">
        <f ca="1">tertiair!N16</f>
        <v>758.82040648999964</v>
      </c>
      <c r="O5" s="479">
        <f>tertiair!O16</f>
        <v>1.5633333333333335</v>
      </c>
      <c r="P5" s="480">
        <f>tertiair!P16</f>
        <v>19.066666666666666</v>
      </c>
      <c r="Q5" s="478">
        <f t="shared" ref="Q5:Q13" ca="1" si="0">SUM(B5:P5)</f>
        <v>24245.463929423797</v>
      </c>
    </row>
    <row r="6" spans="1:17">
      <c r="A6" s="478" t="s">
        <v>194</v>
      </c>
      <c r="B6" s="479">
        <f>'openbare verlichting'!B8</f>
        <v>878.48</v>
      </c>
      <c r="C6" s="479"/>
      <c r="D6" s="479"/>
      <c r="E6" s="479"/>
      <c r="F6" s="479"/>
      <c r="G6" s="479"/>
      <c r="H6" s="479"/>
      <c r="I6" s="479"/>
      <c r="J6" s="479"/>
      <c r="K6" s="479"/>
      <c r="L6" s="479"/>
      <c r="M6" s="479"/>
      <c r="N6" s="479"/>
      <c r="O6" s="479"/>
      <c r="P6" s="480"/>
      <c r="Q6" s="478">
        <f t="shared" si="0"/>
        <v>878.48</v>
      </c>
    </row>
    <row r="7" spans="1:17">
      <c r="A7" s="478" t="s">
        <v>112</v>
      </c>
      <c r="B7" s="479">
        <f>landbouw!B8</f>
        <v>3348.3413999999998</v>
      </c>
      <c r="C7" s="479">
        <f>landbouw!C8</f>
        <v>31422.857142857145</v>
      </c>
      <c r="D7" s="479">
        <f>landbouw!D8</f>
        <v>0</v>
      </c>
      <c r="E7" s="479">
        <f>landbouw!E8</f>
        <v>31.013740461090933</v>
      </c>
      <c r="F7" s="479">
        <f>landbouw!F8</f>
        <v>8495.3799901821149</v>
      </c>
      <c r="G7" s="479">
        <f>landbouw!G8</f>
        <v>0</v>
      </c>
      <c r="H7" s="479">
        <f>landbouw!H8</f>
        <v>0</v>
      </c>
      <c r="I7" s="479">
        <f>landbouw!I8</f>
        <v>0</v>
      </c>
      <c r="J7" s="479">
        <f>landbouw!J8</f>
        <v>513.33810421908481</v>
      </c>
      <c r="K7" s="479">
        <f>landbouw!K8</f>
        <v>0</v>
      </c>
      <c r="L7" s="479">
        <f>landbouw!L8</f>
        <v>0</v>
      </c>
      <c r="M7" s="479">
        <f>landbouw!M8</f>
        <v>0</v>
      </c>
      <c r="N7" s="479">
        <f>landbouw!N8</f>
        <v>0</v>
      </c>
      <c r="O7" s="479">
        <f>landbouw!O8</f>
        <v>0</v>
      </c>
      <c r="P7" s="480">
        <f>landbouw!P8</f>
        <v>0</v>
      </c>
      <c r="Q7" s="478">
        <f t="shared" si="0"/>
        <v>43810.930377719436</v>
      </c>
    </row>
    <row r="8" spans="1:17">
      <c r="A8" s="478" t="s">
        <v>650</v>
      </c>
      <c r="B8" s="479">
        <f>industrie!B18</f>
        <v>19261.596799999999</v>
      </c>
      <c r="C8" s="479">
        <f>industrie!C18</f>
        <v>0</v>
      </c>
      <c r="D8" s="479">
        <f>industrie!D18</f>
        <v>17767.408820374316</v>
      </c>
      <c r="E8" s="479">
        <f>industrie!E18</f>
        <v>1218.6232050886649</v>
      </c>
      <c r="F8" s="479">
        <f>industrie!F18</f>
        <v>15792.769541575848</v>
      </c>
      <c r="G8" s="479">
        <f>industrie!G18</f>
        <v>0</v>
      </c>
      <c r="H8" s="479">
        <f>industrie!H18</f>
        <v>0</v>
      </c>
      <c r="I8" s="479">
        <f>industrie!I18</f>
        <v>0</v>
      </c>
      <c r="J8" s="479">
        <f>industrie!J18</f>
        <v>186.53312590633772</v>
      </c>
      <c r="K8" s="479">
        <f>industrie!K18</f>
        <v>0</v>
      </c>
      <c r="L8" s="479">
        <f>industrie!L18</f>
        <v>0</v>
      </c>
      <c r="M8" s="479">
        <f>industrie!M18</f>
        <v>0</v>
      </c>
      <c r="N8" s="479">
        <f>industrie!N18</f>
        <v>5811.6682052809174</v>
      </c>
      <c r="O8" s="479">
        <f>industrie!O18</f>
        <v>0</v>
      </c>
      <c r="P8" s="480">
        <f>industrie!P18</f>
        <v>0</v>
      </c>
      <c r="Q8" s="478">
        <f t="shared" si="0"/>
        <v>60038.599698226091</v>
      </c>
    </row>
    <row r="9" spans="1:17" s="484" customFormat="1">
      <c r="A9" s="482" t="s">
        <v>571</v>
      </c>
      <c r="B9" s="483">
        <f>transport!B14</f>
        <v>6.6049282421843287</v>
      </c>
      <c r="C9" s="483">
        <f>transport!C14</f>
        <v>0</v>
      </c>
      <c r="D9" s="483">
        <f>transport!D14</f>
        <v>17.097684663789863</v>
      </c>
      <c r="E9" s="483">
        <f>transport!E14</f>
        <v>109.22766639196377</v>
      </c>
      <c r="F9" s="483">
        <f>transport!F14</f>
        <v>0</v>
      </c>
      <c r="G9" s="483">
        <f>transport!G14</f>
        <v>41738.492306857755</v>
      </c>
      <c r="H9" s="483">
        <f>transport!H14</f>
        <v>6473.0795017101709</v>
      </c>
      <c r="I9" s="483">
        <f>transport!I14</f>
        <v>0</v>
      </c>
      <c r="J9" s="483">
        <f>transport!J14</f>
        <v>0</v>
      </c>
      <c r="K9" s="483">
        <f>transport!K14</f>
        <v>0</v>
      </c>
      <c r="L9" s="483">
        <f>transport!L14</f>
        <v>0</v>
      </c>
      <c r="M9" s="483">
        <f>transport!M14</f>
        <v>2613.6449144675939</v>
      </c>
      <c r="N9" s="483">
        <f>transport!N14</f>
        <v>0</v>
      </c>
      <c r="O9" s="483">
        <f>transport!O14</f>
        <v>0</v>
      </c>
      <c r="P9" s="483">
        <f>transport!P14</f>
        <v>0</v>
      </c>
      <c r="Q9" s="482">
        <f>SUM(B9:P9)</f>
        <v>50958.147002333455</v>
      </c>
    </row>
    <row r="10" spans="1:17">
      <c r="A10" s="478" t="s">
        <v>561</v>
      </c>
      <c r="B10" s="479">
        <f>transport!B54</f>
        <v>0</v>
      </c>
      <c r="C10" s="479">
        <f>transport!C54</f>
        <v>0</v>
      </c>
      <c r="D10" s="479">
        <f>transport!D54</f>
        <v>0</v>
      </c>
      <c r="E10" s="479">
        <f>transport!E54</f>
        <v>0</v>
      </c>
      <c r="F10" s="479">
        <f>transport!F54</f>
        <v>0</v>
      </c>
      <c r="G10" s="479">
        <f>transport!G54</f>
        <v>583.08464503929747</v>
      </c>
      <c r="H10" s="479">
        <f>transport!H54</f>
        <v>0</v>
      </c>
      <c r="I10" s="479">
        <f>transport!I54</f>
        <v>0</v>
      </c>
      <c r="J10" s="479">
        <f>transport!J54</f>
        <v>0</v>
      </c>
      <c r="K10" s="479">
        <f>transport!K54</f>
        <v>0</v>
      </c>
      <c r="L10" s="479">
        <f>transport!L54</f>
        <v>0</v>
      </c>
      <c r="M10" s="479">
        <f>transport!M54</f>
        <v>33.251617523028962</v>
      </c>
      <c r="N10" s="479">
        <f>transport!N54</f>
        <v>0</v>
      </c>
      <c r="O10" s="479">
        <f>transport!O54</f>
        <v>0</v>
      </c>
      <c r="P10" s="480">
        <f>transport!P54</f>
        <v>0</v>
      </c>
      <c r="Q10" s="478">
        <f t="shared" si="0"/>
        <v>616.3362625623264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53607.670228495335</v>
      </c>
      <c r="C14" s="489">
        <f t="shared" ref="C14:Q14" ca="1" si="1">SUM(C4:C13)</f>
        <v>31422.857142857145</v>
      </c>
      <c r="D14" s="489">
        <f t="shared" ca="1" si="1"/>
        <v>65248.535124335831</v>
      </c>
      <c r="E14" s="489">
        <f t="shared" si="1"/>
        <v>3341.1430382012095</v>
      </c>
      <c r="F14" s="489">
        <f t="shared" ca="1" si="1"/>
        <v>38005.249393309015</v>
      </c>
      <c r="G14" s="489">
        <f t="shared" si="1"/>
        <v>42321.576951897056</v>
      </c>
      <c r="H14" s="489">
        <f t="shared" si="1"/>
        <v>6473.0795017101709</v>
      </c>
      <c r="I14" s="489">
        <f t="shared" si="1"/>
        <v>0</v>
      </c>
      <c r="J14" s="489">
        <f t="shared" si="1"/>
        <v>2388.2339702369732</v>
      </c>
      <c r="K14" s="489">
        <f t="shared" si="1"/>
        <v>0</v>
      </c>
      <c r="L14" s="489">
        <f t="shared" ca="1" si="1"/>
        <v>0</v>
      </c>
      <c r="M14" s="489">
        <f t="shared" si="1"/>
        <v>2646.8965319906229</v>
      </c>
      <c r="N14" s="489">
        <f t="shared" ca="1" si="1"/>
        <v>17314.672305529319</v>
      </c>
      <c r="O14" s="489">
        <f t="shared" si="1"/>
        <v>189.16333333333333</v>
      </c>
      <c r="P14" s="490">
        <f t="shared" si="1"/>
        <v>247.86666666666667</v>
      </c>
      <c r="Q14" s="490">
        <f t="shared" ca="1" si="1"/>
        <v>263206.94418856269</v>
      </c>
    </row>
    <row r="16" spans="1:17">
      <c r="A16" s="492" t="s">
        <v>566</v>
      </c>
      <c r="B16" s="842">
        <f ca="1">huishoudens!B10</f>
        <v>0.2138249981822386</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3874.5526943284226</v>
      </c>
      <c r="C21" s="479">
        <f t="shared" ref="C21:C30" ca="1" si="3">C4*$C$16</f>
        <v>0</v>
      </c>
      <c r="D21" s="479">
        <f t="shared" ref="D21:D30" si="4">D4*$D$16</f>
        <v>7644.5477632230477</v>
      </c>
      <c r="E21" s="479">
        <f t="shared" ref="E21:E30" si="5">E4*$E$16</f>
        <v>421.60970343696027</v>
      </c>
      <c r="F21" s="479">
        <f t="shared" ref="F21:F30" si="6">F4*$F$16</f>
        <v>3200.857051619073</v>
      </c>
      <c r="G21" s="479">
        <f t="shared" ref="G21:G30" si="7">G4*$G$16</f>
        <v>0</v>
      </c>
      <c r="H21" s="479">
        <f t="shared" ref="H21:H30" si="8">H4*$H$16</f>
        <v>0</v>
      </c>
      <c r="I21" s="479">
        <f t="shared" ref="I21:I30" si="9">I4*$I$16</f>
        <v>0</v>
      </c>
      <c r="J21" s="479">
        <f t="shared" ref="J21:J30" si="10">J4*$J$16</f>
        <v>597.6804099994888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15739.247622606992</v>
      </c>
    </row>
    <row r="22" spans="1:17">
      <c r="A22" s="478" t="s">
        <v>156</v>
      </c>
      <c r="B22" s="479">
        <f t="shared" ca="1" si="2"/>
        <v>2564.284017145601</v>
      </c>
      <c r="C22" s="479">
        <f t="shared" ca="1" si="3"/>
        <v>0</v>
      </c>
      <c r="D22" s="479">
        <f t="shared" ca="1" si="4"/>
        <v>1943.1860178750921</v>
      </c>
      <c r="E22" s="479">
        <f t="shared" si="5"/>
        <v>28.367499323943946</v>
      </c>
      <c r="F22" s="479">
        <f t="shared" ca="1" si="6"/>
        <v>461.60861141505893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4997.4461457596954</v>
      </c>
    </row>
    <row r="23" spans="1:17">
      <c r="A23" s="478" t="s">
        <v>194</v>
      </c>
      <c r="B23" s="479">
        <f t="shared" ca="1" si="2"/>
        <v>187.84098440313298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187.84098440313298</v>
      </c>
    </row>
    <row r="24" spans="1:17">
      <c r="A24" s="478" t="s">
        <v>112</v>
      </c>
      <c r="B24" s="479">
        <f t="shared" ca="1" si="2"/>
        <v>715.95909376851421</v>
      </c>
      <c r="C24" s="479">
        <f t="shared" ca="1" si="3"/>
        <v>7467.5495798319334</v>
      </c>
      <c r="D24" s="479">
        <f t="shared" si="4"/>
        <v>0</v>
      </c>
      <c r="E24" s="479">
        <f t="shared" si="5"/>
        <v>7.0401190846676416</v>
      </c>
      <c r="F24" s="479">
        <f t="shared" si="6"/>
        <v>2268.2664573786246</v>
      </c>
      <c r="G24" s="479">
        <f t="shared" si="7"/>
        <v>0</v>
      </c>
      <c r="H24" s="479">
        <f t="shared" si="8"/>
        <v>0</v>
      </c>
      <c r="I24" s="479">
        <f t="shared" si="9"/>
        <v>0</v>
      </c>
      <c r="J24" s="479">
        <f t="shared" si="10"/>
        <v>181.72168889355601</v>
      </c>
      <c r="K24" s="479">
        <f t="shared" si="11"/>
        <v>0</v>
      </c>
      <c r="L24" s="479">
        <f t="shared" si="12"/>
        <v>0</v>
      </c>
      <c r="M24" s="479">
        <f t="shared" si="13"/>
        <v>0</v>
      </c>
      <c r="N24" s="479">
        <f t="shared" si="14"/>
        <v>0</v>
      </c>
      <c r="O24" s="479">
        <f t="shared" si="15"/>
        <v>0</v>
      </c>
      <c r="P24" s="480">
        <f t="shared" si="16"/>
        <v>0</v>
      </c>
      <c r="Q24" s="478">
        <f t="shared" ca="1" si="17"/>
        <v>10640.536938957297</v>
      </c>
    </row>
    <row r="25" spans="1:17">
      <c r="A25" s="478" t="s">
        <v>650</v>
      </c>
      <c r="B25" s="479">
        <f t="shared" ca="1" si="2"/>
        <v>4118.6109007470131</v>
      </c>
      <c r="C25" s="479">
        <f t="shared" ca="1" si="3"/>
        <v>0</v>
      </c>
      <c r="D25" s="479">
        <f t="shared" si="4"/>
        <v>3589.0165817156121</v>
      </c>
      <c r="E25" s="479">
        <f t="shared" si="5"/>
        <v>276.62746755512694</v>
      </c>
      <c r="F25" s="479">
        <f t="shared" si="6"/>
        <v>4216.6694676007519</v>
      </c>
      <c r="G25" s="479">
        <f t="shared" si="7"/>
        <v>0</v>
      </c>
      <c r="H25" s="479">
        <f t="shared" si="8"/>
        <v>0</v>
      </c>
      <c r="I25" s="479">
        <f t="shared" si="9"/>
        <v>0</v>
      </c>
      <c r="J25" s="479">
        <f t="shared" si="10"/>
        <v>66.03272657084355</v>
      </c>
      <c r="K25" s="479">
        <f t="shared" si="11"/>
        <v>0</v>
      </c>
      <c r="L25" s="479">
        <f t="shared" si="12"/>
        <v>0</v>
      </c>
      <c r="M25" s="479">
        <f t="shared" si="13"/>
        <v>0</v>
      </c>
      <c r="N25" s="479">
        <f t="shared" si="14"/>
        <v>0</v>
      </c>
      <c r="O25" s="479">
        <f t="shared" si="15"/>
        <v>0</v>
      </c>
      <c r="P25" s="480">
        <f t="shared" si="16"/>
        <v>0</v>
      </c>
      <c r="Q25" s="478">
        <f t="shared" ca="1" si="17"/>
        <v>12266.957144189348</v>
      </c>
    </row>
    <row r="26" spans="1:17" s="484" customFormat="1">
      <c r="A26" s="482" t="s">
        <v>571</v>
      </c>
      <c r="B26" s="836">
        <f t="shared" ca="1" si="2"/>
        <v>1.4122987693788804</v>
      </c>
      <c r="C26" s="483">
        <f t="shared" ca="1" si="3"/>
        <v>0</v>
      </c>
      <c r="D26" s="483">
        <f t="shared" si="4"/>
        <v>3.4537323020855526</v>
      </c>
      <c r="E26" s="483">
        <f t="shared" si="5"/>
        <v>24.794680270975775</v>
      </c>
      <c r="F26" s="483">
        <f t="shared" si="6"/>
        <v>0</v>
      </c>
      <c r="G26" s="483">
        <f t="shared" si="7"/>
        <v>11144.177445931022</v>
      </c>
      <c r="H26" s="483">
        <f t="shared" si="8"/>
        <v>1611.7967959258326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12785.634953199295</v>
      </c>
    </row>
    <row r="27" spans="1:17">
      <c r="A27" s="478" t="s">
        <v>561</v>
      </c>
      <c r="B27" s="479">
        <f t="shared" ca="1" si="2"/>
        <v>0</v>
      </c>
      <c r="C27" s="479">
        <f t="shared" ca="1" si="3"/>
        <v>0</v>
      </c>
      <c r="D27" s="479">
        <f t="shared" si="4"/>
        <v>0</v>
      </c>
      <c r="E27" s="479">
        <f t="shared" si="5"/>
        <v>0</v>
      </c>
      <c r="F27" s="479">
        <f t="shared" si="6"/>
        <v>0</v>
      </c>
      <c r="G27" s="479">
        <f t="shared" si="7"/>
        <v>155.68360022549243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155.68360022549243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11462.659989162063</v>
      </c>
      <c r="C31" s="489">
        <f t="shared" ca="1" si="18"/>
        <v>7467.5495798319334</v>
      </c>
      <c r="D31" s="489">
        <f t="shared" ca="1" si="18"/>
        <v>13180.204095115838</v>
      </c>
      <c r="E31" s="489">
        <f t="shared" si="18"/>
        <v>758.43946967167449</v>
      </c>
      <c r="F31" s="489">
        <f t="shared" ca="1" si="18"/>
        <v>10147.401588013508</v>
      </c>
      <c r="G31" s="489">
        <f t="shared" si="18"/>
        <v>11299.861046156515</v>
      </c>
      <c r="H31" s="489">
        <f t="shared" si="18"/>
        <v>1611.7967959258326</v>
      </c>
      <c r="I31" s="489">
        <f t="shared" si="18"/>
        <v>0</v>
      </c>
      <c r="J31" s="489">
        <f t="shared" si="18"/>
        <v>845.43482546388839</v>
      </c>
      <c r="K31" s="489">
        <f t="shared" si="18"/>
        <v>0</v>
      </c>
      <c r="L31" s="489">
        <f t="shared" ca="1" si="18"/>
        <v>0</v>
      </c>
      <c r="M31" s="489">
        <f t="shared" si="18"/>
        <v>0</v>
      </c>
      <c r="N31" s="489">
        <f t="shared" ca="1" si="18"/>
        <v>0</v>
      </c>
      <c r="O31" s="489">
        <f t="shared" si="18"/>
        <v>0</v>
      </c>
      <c r="P31" s="490">
        <f t="shared" si="18"/>
        <v>0</v>
      </c>
      <c r="Q31" s="490">
        <f t="shared" ca="1" si="18"/>
        <v>56773.347389341259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0.2138249981822386</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0.2138249981822386</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0.2138249981822386</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2018-06-27T09:36:56Z</dcterms:modified>
</cp:coreProperties>
</file>