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F8"/>
  <c r="G22" i="14" s="1"/>
  <c r="J15" i="16"/>
  <c r="C16" i="15"/>
  <c r="D10" i="14" s="1"/>
  <c r="B8" i="9"/>
  <c r="D6" i="17"/>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B34" i="13"/>
  <c r="L22" i="16"/>
  <c r="M39" i="14" s="1"/>
  <c r="M13"/>
  <c r="J12" i="17"/>
  <c r="K48" i="14" s="1"/>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F8"/>
  <c r="Q8" s="1"/>
  <c r="Q14" s="1"/>
  <c r="E14"/>
  <c r="R10" i="14"/>
  <c r="K41"/>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<sst xmlns="http://schemas.openxmlformats.org/spreadsheetml/2006/main" count="1950" uniqueCount="834">
  <si>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</si>
  <si>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</si>
  <si>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</si>
  <si>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</si>
  <si>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</si>
  <si>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</si>
  <si>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</si>
  <si>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</si>
  <si>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</si>
  <si>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</si>
  <si>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</si>
  <si>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</si>
  <si>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</si>
  <si>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</si>
  <si>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</si>
  <si>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</si>
  <si>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</si>
  <si>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</si>
  <si>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</si>
  <si>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</si>
  <si>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</si>
  <si>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</si>
  <si>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</si>
  <si>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</si>
  <si>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</si>
  <si>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</si>
  <si>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</si>
  <si>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</si>
  <si>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</si>
  <si>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</si>
  <si>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</si>
  <si>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</si>
  <si>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</si>
  <si>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</si>
  <si>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</si>
  <si>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</si>
  <si>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</si>
  <si>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</si>
  <si>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</si>
  <si>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</si>
  <si>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</si>
  <si>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</si>
  <si>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</si>
  <si>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</si>
  <si>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</si>
  <si>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</si>
  <si>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</si>
  <si>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</si>
  <si>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</si>
  <si>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</si>
  <si>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</si>
  <si>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</si>
  <si>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</si>
  <si>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</si>
  <si>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</si>
  <si>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</si>
  <si>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</si>
  <si>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</si>
  <si>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</si>
  <si>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</si>
  <si>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</si>
  <si>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</si>
  <si>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</si>
  <si>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</si>
  <si>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</si>
  <si>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</si>
  <si>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</si>
  <si>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</si>
  <si>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</si>
  <si>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</si>
  <si>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</si>
  <si>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</si>
  <si>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</si>
  <si>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</si>
  <si>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</si>
  <si>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</si>
  <si>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</si>
  <si>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</si>
  <si>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</si>
  <si>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</si>
  <si>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</si>
  <si>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</si>
  <si>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</si>
  <si>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</si>
  <si>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</si>
  <si>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</si>
  <si>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</si>
  <si>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</si>
  <si>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</si>
  <si>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</si>
  <si>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</si>
  <si>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</si>
  <si>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</si>
  <si>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</si>
  <si>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</si>
  <si>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</si>
  <si>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</si>
  <si>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</si>
  <si>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</si>
  <si>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</si>
  <si>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</si>
  <si>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</si>
  <si>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</si>
  <si>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</si>
  <si>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</si>
  <si>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</si>
  <si>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</si>
  <si>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</si>
  <si>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</si>
  <si>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</si>
  <si>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</si>
  <si>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</si>
  <si>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</si>
  <si>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</si>
  <si>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</si>
  <si>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</si>
  <si>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</si>
  <si>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</si>
  <si>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</si>
  <si>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</si>
  <si>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</si>
  <si>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</si>
  <si>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</si>
  <si>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</si>
  <si>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</si>
  <si>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</si>
  <si>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</si>
  <si>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</si>
  <si>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</si>
  <si>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</si>
  <si>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</si>
  <si>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</si>
  <si>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</si>
  <si>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</si>
  <si>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</si>
  <si>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</si>
  <si>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</si>
  <si>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</si>
  <si>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</si>
  <si>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</si>
  <si>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</si>
  <si>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</si>
  <si>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</si>
  <si>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</si>
  <si>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</si>
  <si>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</si>
  <si>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</si>
  <si>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</si>
  <si>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</si>
  <si>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</si>
  <si>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</si>
  <si>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</si>
  <si>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</si>
  <si>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</si>
  <si>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</si>
  <si>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</si>
  <si>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</si>
  <si>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</si>
  <si>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</si>
  <si>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</si>
  <si>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</si>
  <si>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</si>
  <si>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</si>
  <si>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</si>
  <si>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</si>
  <si>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</si>
  <si>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</si>
  <si>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</si>
  <si>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</si>
  <si>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</si>
  <si>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</si>
  <si>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</si>
  <si>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</si>
  <si>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</si>
  <si>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</si>
  <si>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</si>
  <si>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</si>
  <si>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</si>
  <si>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</si>
  <si>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</si>
  <si>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</si>
  <si>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</si>
  <si>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</si>
  <si>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</si>
  <si>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</si>
  <si>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</si>
  <si>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</si>
  <si>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</si>
  <si>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</si>
  <si>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</si>
  <si>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</si>
  <si>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</si>
  <si>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</si>
  <si>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</si>
  <si>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</si>
  <si>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</si>
  <si>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</si>
  <si>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</si>
  <si>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</si>
  <si>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</si>
  <si>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</si>
  <si>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</si>
  <si>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</si>
  <si>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</si>
  <si>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</si>
  <si>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</si>
  <si>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</si>
  <si>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</si>
  <si>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</si>
  <si>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</si>
  <si>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</si>
  <si>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</si>
  <si>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</si>
  <si>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</si>
  <si>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</si>
  <si>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</si>
  <si>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</si>
  <si>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</si>
  <si>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</si>
  <si>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</si>
  <si>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</si>
  <si>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</si>
  <si>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</si>
  <si>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</si>
  <si>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</si>
  <si>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</si>
  <si>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</si>
  <si>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</si>
  <si>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</si>
  <si>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</si>
  <si>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</si>
  <si>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</si>
  <si>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</si>
  <si>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</si>
  <si>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</si>
  <si>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</si>
  <si>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</si>
  <si>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</si>
  <si>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</si>
  <si>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</si>
  <si>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</si>
  <si>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</si>
  <si>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</si>
  <si>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</si>
  <si>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</si>
  <si>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</si>
  <si>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</si>
  <si>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</si>
  <si>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</si>
  <si>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</si>
  <si>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</si>
  <si>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</si>
  <si>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</si>
  <si>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</si>
  <si>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</si>
  <si>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</si>
  <si>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</si>
  <si>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</si>
  <si>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</si>
  <si>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</si>
  <si>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</si>
  <si>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</si>
  <si>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</si>
  <si>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</si>
  <si>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</si>
  <si>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</si>
  <si>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</si>
  <si>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</si>
  <si>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</si>
  <si>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</si>
  <si>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</si>
  <si>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</si>
  <si>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</si>
  <si>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</si>
  <si>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</si>
  <si>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</si>
  <si>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</si>
  <si>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</si>
  <si>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</si>
  <si>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</si>
  <si>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</si>
  <si>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</si>
  <si>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</si>
  <si>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</si>
  <si>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</si>
  <si>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</si>
  <si>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</si>
  <si>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</si>
  <si>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</si>
  <si>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</si>
  <si>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</si>
  <si>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</si>
  <si>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</si>
  <si>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</si>
  <si>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</si>
  <si>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</si>
  <si>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</si>
  <si>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</si>
  <si>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</si>
  <si>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</si>
  <si>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</si>
  <si>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</si>
  <si>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</si>
  <si>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</si>
  <si>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</si>
  <si>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</si>
  <si>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</si>
  <si>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</si>
  <si>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</si>
  <si>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</si>
  <si>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</si>
  <si>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</si>
  <si>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</si>
  <si>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</si>
  <si>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</si>
  <si>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</si>
  <si>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</si>
  <si>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</si>
  <si>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</si>
  <si>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</si>
  <si>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</si>
  <si>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</si>
  <si>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</si>
  <si>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</si>
  <si>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</si>
  <si>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</si>
  <si>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</si>
  <si>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</si>
  <si>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</si>
  <si>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</si>
  <si>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</si>
  <si>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</si>
  <si>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</si>
  <si>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</si>
  <si>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</si>
  <si>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</si>
  <si>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</si>
  <si>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</si>
  <si>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</si>
  <si>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</si>
  <si>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</si>
  <si>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</si>
  <si>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</si>
  <si>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</si>
  <si>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</si>
  <si>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</si>
  <si>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</si>
  <si>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</si>
  <si>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</si>
  <si>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</si>
  <si>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</si>
  <si>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</si>
  <si>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</si>
  <si>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</si>
  <si>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</si>
  <si>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</si>
  <si>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</si>
  <si>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</si>
  <si>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</si>
  <si>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</si>
  <si>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</si>
  <si>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</si>
  <si>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</si>
  <si>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</si>
  <si>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</si>
  <si>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</si>
  <si>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</si>
  <si>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</si>
  <si>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</si>
  <si>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</si>
  <si>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</si>
  <si>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</si>
  <si>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</si>
  <si>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</si>
  <si>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</si>
  <si>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</si>
  <si>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</si>
  <si>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</si>
  <si>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</si>
  <si>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</si>
  <si>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</si>
  <si>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</si>
  <si>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</si>
  <si>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</si>
  <si>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</si>
  <si>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</si>
  <si>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</si>
  <si>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</si>
  <si>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</si>
  <si>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</si>
  <si>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</si>
  <si>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</si>
  <si>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</si>
  <si>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</si>
  <si>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</si>
  <si>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</si>
  <si>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</si>
  <si>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</si>
  <si>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</si>
  <si>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</si>
  <si>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</si>
  <si>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</si>
  <si>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</si>
  <si>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</si>
  <si>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</si>
  <si>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</si>
  <si>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</si>
  <si>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</si>
  <si>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</si>
  <si>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</si>
  <si>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</si>
  <si>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</si>
  <si>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</si>
  <si>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</si>
  <si>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</si>
  <si>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</si>
  <si>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</si>
  <si>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</si>
  <si>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</si>
  <si>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</si>
  <si>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</si>
  <si>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</si>
  <si>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</si>
  <si>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</si>
  <si>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</si>
  <si>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</si>
  <si>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</si>
  <si>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</si>
  <si>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</si>
  <si>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</si>
  <si>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</si>
  <si>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</si>
  <si>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</si>
  <si>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</si>
  <si>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</si>
  <si>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</si>
  <si>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</si>
  <si>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</si>
  <si>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</si>
  <si>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</si>
  <si>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</si>
  <si>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</si>
  <si>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</si>
  <si>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</si>
  <si>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</si>
  <si>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</si>
  <si>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</si>
  <si>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</si>
  <si>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</si>
  <si>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</si>
  <si>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</si>
  <si>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</si>
  <si>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</si>
  <si>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</si>
  <si>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</si>
  <si>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</si>
  <si>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</si>
  <si>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</si>
  <si>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</si>
  <si>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</si>
  <si>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</si>
  <si>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</si>
  <si>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</si>
  <si>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</si>
  <si>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</si>
  <si>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</si>
  <si>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</si>
  <si>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</si>
  <si>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</si>
  <si>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</si>
  <si>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</si>
  <si>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</si>
  <si>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</si>
  <si>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</si>
  <si>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</si>
  <si>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</si>
  <si>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</si>
  <si>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</si>
  <si>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</si>
  <si>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</si>
  <si>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</si>
  <si>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</si>
  <si>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</si>
  <si>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</si>
  <si>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</si>
  <si>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</si>
  <si>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</si>
  <si>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</si>
  <si>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</si>
  <si>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</si>
  <si>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</si>
  <si>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</si>
  <si>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</si>
  <si>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</si>
  <si>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</si>
  <si>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</si>
  <si>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</si>
  <si>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</si>
  <si>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</si>
  <si>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</si>
  <si>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</si>
  <si>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</si>
  <si>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</si>
  <si>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</si>
  <si>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</si>
  <si>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</si>
  <si>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</si>
  <si>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</si>
  <si>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</si>
  <si>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</si>
  <si>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</si>
  <si>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</si>
  <si>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</si>
  <si>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</si>
  <si>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</si>
  <si>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</si>
  <si>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</si>
  <si>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</si>
  <si>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</si>
  <si>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</si>
  <si>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</si>
  <si>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</si>
  <si>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</si>
  <si>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</si>
  <si>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</si>
  <si>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</si>
  <si>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</si>
  <si>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</si>
  <si>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</si>
  <si>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</si>
  <si>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</si>
  <si>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</si>
  <si>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</si>
  <si>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</si>
  <si>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</si>
  <si>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</si>
  <si>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</si>
  <si>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</si>
  <si>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</si>
  <si>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</si>
  <si>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</si>
  <si>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</si>
  <si>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</si>
  <si>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</si>
  <si>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</si>
  <si>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</si>
  <si>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</si>
  <si>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</si>
  <si>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</si>
  <si>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</si>
  <si>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</si>
  <si>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</si>
  <si>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</si>
  <si>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</si>
  <si>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</si>
  <si>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</si>
  <si>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</si>
  <si>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</si>
  <si>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</si>
  <si>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</si>
  <si>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</si>
  <si>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</si>
  <si>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</si>
  <si>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</si>
  <si>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</si>
  <si>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</si>
  <si>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</si>
  <si>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</si>
  <si>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</si>
  <si>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</si>
  <si>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</si>
  <si>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</si>
  <si>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</si>
  <si>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</si>
  <si>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</si>
  <si>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</si>
  <si>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</si>
  <si>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</si>
  <si>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</si>
  <si>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</si>
  <si>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</si>
  <si>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</si>
  <si>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</si>
  <si>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</si>
  <si>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</si>
  <si>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</si>
  <si>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</si>
  <si>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</si>
  <si>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</si>
  <si>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</si>
  <si>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</si>
  <si>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</si>
  <si>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</si>
  <si>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</si>
  <si>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</si>
  <si>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</si>
  <si>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</si>
  <si>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</si>
  <si>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</si>
  <si>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</si>
  <si>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</si>
  <si>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</si>
  <si>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</si>
  <si>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</si>
  <si>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</si>
  <si>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</si>
  <si>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</si>
  <si>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</si>
  <si>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</si>
  <si>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</si>
  <si>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</si>
  <si>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</si>
  <si>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</si>
  <si>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</si>
  <si>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</si>
  <si>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</si>
  <si>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</si>
  <si>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</si>
  <si>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</si>
  <si>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</si>
  <si>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</si>
  <si>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</si>
  <si>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</si>
  <si>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</si>
  <si>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</si>
  <si>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</si>
  <si>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</si>
  <si>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</si>
  <si>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</si>
  <si>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</si>
  <si>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</si>
  <si>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</si>
  <si>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</si>
  <si>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</si>
  <si>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</si>
  <si>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</si>
  <si>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</si>
  <si>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</si>
  <si>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</si>
  <si>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</si>
  <si>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</si>
  <si>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</si>
  <si>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</si>
  <si>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</si>
  <si>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</si>
  <si>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</si>
  <si>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</si>
  <si>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</si>
  <si>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</si>
  <si>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</si>
  <si>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</si>
  <si>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</si>
  <si>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</si>
  <si>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</si>
  <si>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</si>
  <si>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</si>
  <si>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</si>
  <si>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</si>
  <si>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</si>
  <si>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</si>
  <si>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</si>
  <si>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</si>
  <si>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</si>
  <si>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</si>
  <si>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</si>
  <si>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</si>
  <si>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</si>
  <si>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</si>
  <si>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</si>
  <si>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</si>
  <si>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</si>
  <si>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</si>
  <si>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</si>
  <si>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</si>
  <si>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</si>
  <si>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</si>
  <si>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</si>
  <si>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</si>
  <si>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</si>
  <si>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</si>
  <si>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</si>
  <si>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</si>
  <si>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</si>
  <si>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</si>
  <si>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</si>
  <si>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</si>
  <si>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</si>
  <si>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</si>
  <si>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</si>
  <si>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</si>
  <si>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</si>
  <si>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</si>
  <si>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</si>
  <si>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</si>
  <si>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</si>
  <si>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</si>
  <si>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</si>
  <si>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</si>
  <si>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</si>
  <si>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</si>
  <si>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</si>
  <si>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</si>
  <si>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</si>
  <si>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</si>
  <si>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</si>
  <si>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</si>
  <si>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</si>
  <si>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</si>
  <si>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</si>
  <si>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</si>
  <si>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</si>
  <si>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</si>
  <si>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</si>
  <si>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</si>
  <si>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</si>
  <si>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</si>
  <si>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</si>
  <si>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</si>
  <si>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</si>
  <si>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</si>
  <si>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</si>
  <si>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</si>
  <si>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</si>
  <si>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</si>
  <si>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</si>
  <si>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</si>
  <si>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</si>
  <si>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</si>
  <si>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</si>
  <si>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</si>
  <si>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</si>
  <si>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</si>
  <si>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</si>
  <si>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</si>
  <si>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</si>
  <si>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</si>
  <si>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</si>
  <si>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</si>
  <si>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</si>
  <si>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</si>
  <si>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</si>
  <si>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</si>
  <si>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</si>
  <si>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</si>
  <si>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</si>
  <si>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</si>
  <si>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</si>
  <si>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</si>
  <si>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</si>
  <si>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</si>
  <si>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</si>
  <si>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</si>
  <si>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</si>
  <si>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</si>
  <si>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</si>
  <si>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</si>
  <si>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</si>
  <si>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</si>
  <si>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</si>
  <si>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</si>
  <si>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</si>
  <si>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</si>
  <si>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</si>
  <si>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</si>
  <si>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</si>
  <si>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</si>
  <si>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</si>
  <si>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</si>
  <si>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</si>
  <si>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</si>
  <si>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</si>
  <si>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</si>
  <si>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</si>
  <si>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</si>
  <si>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</si>
  <si>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</si>
  <si>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</si>
  <si>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</si>
  <si>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</si>
  <si>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</si>
  <si>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</si>
  <si>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</si>
  <si>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</si>
  <si>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</si>
  <si>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</si>
  <si>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</si>
  <si>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</si>
  <si>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</si>
  <si>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</si>
  <si>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</si>
  <si>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</si>
  <si>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</si>
  <si>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</si>
  <si>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</si>
  <si>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</si>
  <si>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</si>
  <si>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</si>
  <si>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</si>
  <si>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</si>
  <si>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</si>
  <si>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</si>
  <si>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</si>
  <si>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</si>
  <si>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</si>
  <si>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</si>
  <si>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</si>
  <si>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</si>
  <si>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</si>
  <si>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</si>
  <si>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</si>
  <si>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</si>
  <si>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</si>
  <si>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</si>
  <si>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</si>
  <si>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</si>
  <si>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</si>
  <si>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</si>
  <si>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</si>
  <si>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</si>
  <si>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</si>
  <si>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</si>
  <si>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</si>
  <si>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</si>
  <si>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</si>
  <si>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</si>
  <si>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</si>
  <si>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34042</t>
  </si>
  <si>
    <t>ZWEVEGEM</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</si>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</sst>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185204.63873303338</c:v>
                </c:pt>
                <c:pt idx="1">
                  <c:v>46344.990743775466</c:v>
                </c:pt>
                <c:pt idx="2">
                  <c:v>1944.8879999999999</c:v>
                </c:pt>
                <c:pt idx="3">
                  <c:v>11550.25027476385</c:v>
                </c:pt>
                <c:pt idx="4">
                  <c:v>172228.28941486106</c:v>
                </c:pt>
                <c:pt idx="5">
                  <c:v>98658.134038841628</c:v>
                </c:pt>
                <c:pt idx="6">
                  <c:v>1174.0236297733013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185204.63873303338</c:v>
                </c:pt>
                <c:pt idx="1">
                  <c:v>46344.990743775466</c:v>
                </c:pt>
                <c:pt idx="2">
                  <c:v>1944.8879999999999</c:v>
                </c:pt>
                <c:pt idx="3">
                  <c:v>11550.25027476385</c:v>
                </c:pt>
                <c:pt idx="4">
                  <c:v>172228.28941486106</c:v>
                </c:pt>
                <c:pt idx="5">
                  <c:v>98658.134038841628</c:v>
                </c:pt>
                <c:pt idx="6">
                  <c:v>1174.0236297733013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36404.850565151974</c:v>
                </c:pt>
                <c:pt idx="1">
                  <c:v>8667.4381668409806</c:v>
                </c:pt>
                <c:pt idx="2">
                  <c:v>341.72622812778638</c:v>
                </c:pt>
                <c:pt idx="3">
                  <c:v>2708.6425342985294</c:v>
                </c:pt>
                <c:pt idx="4">
                  <c:v>34021.872165427194</c:v>
                </c:pt>
                <c:pt idx="5">
                  <c:v>24706.692294127388</c:v>
                </c:pt>
                <c:pt idx="6">
                  <c:v>296.55276921893773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36404.850565151974</c:v>
                </c:pt>
                <c:pt idx="1">
                  <c:v>8667.4381668409806</c:v>
                </c:pt>
                <c:pt idx="2">
                  <c:v>341.72622812778638</c:v>
                </c:pt>
                <c:pt idx="3">
                  <c:v>2708.6425342985294</c:v>
                </c:pt>
                <c:pt idx="4">
                  <c:v>34021.872165427194</c:v>
                </c:pt>
                <c:pt idx="5">
                  <c:v>24706.692294127388</c:v>
                </c:pt>
                <c:pt idx="6">
                  <c:v>296.55276921893773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34042</v>
      </c>
      <c r="B6" s="416"/>
      <c r="C6" s="417"/>
    </row>
    <row r="7" spans="1:7" s="414" customFormat="1" ht="15.75" customHeight="1">
      <c r="A7" s="418" t="str">
        <f>txtMunicipality</f>
        <v>ZWEVEGEM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9961</v>
      </c>
      <c r="C9" s="342">
        <v>10379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4274</v>
      </c>
    </row>
    <row r="15" spans="1:6">
      <c r="A15" s="348" t="s">
        <v>184</v>
      </c>
      <c r="B15" s="334">
        <v>25</v>
      </c>
    </row>
    <row r="16" spans="1:6">
      <c r="A16" s="348" t="s">
        <v>6</v>
      </c>
      <c r="B16" s="334">
        <v>682</v>
      </c>
    </row>
    <row r="17" spans="1:6">
      <c r="A17" s="348" t="s">
        <v>7</v>
      </c>
      <c r="B17" s="334">
        <v>860</v>
      </c>
    </row>
    <row r="18" spans="1:6">
      <c r="A18" s="348" t="s">
        <v>8</v>
      </c>
      <c r="B18" s="334">
        <v>998</v>
      </c>
    </row>
    <row r="19" spans="1:6">
      <c r="A19" s="348" t="s">
        <v>9</v>
      </c>
      <c r="B19" s="334">
        <v>925</v>
      </c>
    </row>
    <row r="20" spans="1:6">
      <c r="A20" s="348" t="s">
        <v>10</v>
      </c>
      <c r="B20" s="334">
        <v>937</v>
      </c>
    </row>
    <row r="21" spans="1:6">
      <c r="A21" s="348" t="s">
        <v>11</v>
      </c>
      <c r="B21" s="334">
        <v>3219</v>
      </c>
    </row>
    <row r="22" spans="1:6">
      <c r="A22" s="348" t="s">
        <v>12</v>
      </c>
      <c r="B22" s="334">
        <v>19870</v>
      </c>
    </row>
    <row r="23" spans="1:6">
      <c r="A23" s="348" t="s">
        <v>13</v>
      </c>
      <c r="B23" s="334">
        <v>143</v>
      </c>
    </row>
    <row r="24" spans="1:6">
      <c r="A24" s="348" t="s">
        <v>14</v>
      </c>
      <c r="B24" s="334">
        <v>17</v>
      </c>
    </row>
    <row r="25" spans="1:6">
      <c r="A25" s="348" t="s">
        <v>15</v>
      </c>
      <c r="B25" s="334">
        <v>1169</v>
      </c>
    </row>
    <row r="26" spans="1:6">
      <c r="A26" s="348" t="s">
        <v>16</v>
      </c>
      <c r="B26" s="334">
        <v>212</v>
      </c>
    </row>
    <row r="27" spans="1:6">
      <c r="A27" s="348" t="s">
        <v>17</v>
      </c>
      <c r="B27" s="334">
        <v>16</v>
      </c>
    </row>
    <row r="28" spans="1:6" s="356" customFormat="1">
      <c r="A28" s="355" t="s">
        <v>18</v>
      </c>
      <c r="B28" s="355">
        <v>410272</v>
      </c>
    </row>
    <row r="29" spans="1:6">
      <c r="A29" s="355" t="s">
        <v>828</v>
      </c>
      <c r="B29" s="355">
        <v>87</v>
      </c>
      <c r="C29" s="356"/>
      <c r="D29" s="356"/>
      <c r="E29" s="356"/>
      <c r="F29" s="356"/>
    </row>
    <row r="30" spans="1:6">
      <c r="A30" s="341" t="s">
        <v>829</v>
      </c>
      <c r="B30" s="341">
        <v>50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3392.6860000000001</v>
      </c>
    </row>
    <row r="39" spans="1:6">
      <c r="A39" s="348" t="s">
        <v>30</v>
      </c>
      <c r="B39" s="348" t="s">
        <v>31</v>
      </c>
      <c r="C39" s="334">
        <v>5383</v>
      </c>
      <c r="D39" s="334">
        <v>73370694.708389506</v>
      </c>
      <c r="E39" s="334">
        <v>9533</v>
      </c>
      <c r="F39" s="334">
        <v>40633001</v>
      </c>
    </row>
    <row r="40" spans="1:6">
      <c r="A40" s="348" t="s">
        <v>30</v>
      </c>
      <c r="B40" s="348" t="s">
        <v>29</v>
      </c>
      <c r="C40" s="334">
        <v>0</v>
      </c>
      <c r="D40" s="334">
        <v>0</v>
      </c>
      <c r="E40" s="334">
        <v>0</v>
      </c>
      <c r="F40" s="334">
        <v>0</v>
      </c>
    </row>
    <row r="41" spans="1:6">
      <c r="A41" s="348" t="s">
        <v>32</v>
      </c>
      <c r="B41" s="348" t="s">
        <v>33</v>
      </c>
      <c r="C41" s="334">
        <v>79</v>
      </c>
      <c r="D41" s="334">
        <v>1071615.75029664</v>
      </c>
      <c r="E41" s="334">
        <v>229</v>
      </c>
      <c r="F41" s="334">
        <v>1743029</v>
      </c>
    </row>
    <row r="42" spans="1:6">
      <c r="A42" s="348" t="s">
        <v>32</v>
      </c>
      <c r="B42" s="348" t="s">
        <v>34</v>
      </c>
      <c r="C42" s="334">
        <v>0</v>
      </c>
      <c r="D42" s="334">
        <v>0</v>
      </c>
      <c r="E42" s="334">
        <v>0</v>
      </c>
      <c r="F42" s="334">
        <v>0</v>
      </c>
    </row>
    <row r="43" spans="1:6">
      <c r="A43" s="348" t="s">
        <v>32</v>
      </c>
      <c r="B43" s="348" t="s">
        <v>35</v>
      </c>
      <c r="C43" s="334">
        <v>5</v>
      </c>
      <c r="D43" s="334">
        <v>145814879.773761</v>
      </c>
      <c r="E43" s="334">
        <v>14</v>
      </c>
      <c r="F43" s="334">
        <v>232741.9</v>
      </c>
    </row>
    <row r="44" spans="1:6">
      <c r="A44" s="348" t="s">
        <v>32</v>
      </c>
      <c r="B44" s="348" t="s">
        <v>36</v>
      </c>
      <c r="C44" s="334">
        <v>0</v>
      </c>
      <c r="D44" s="334">
        <v>0</v>
      </c>
      <c r="E44" s="334">
        <v>14</v>
      </c>
      <c r="F44" s="334">
        <v>1311484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214492.63773321101</v>
      </c>
      <c r="E47" s="334">
        <v>5</v>
      </c>
      <c r="F47" s="334">
        <v>139880.4</v>
      </c>
    </row>
    <row r="48" spans="1:6">
      <c r="A48" s="348" t="s">
        <v>32</v>
      </c>
      <c r="B48" s="348" t="s">
        <v>29</v>
      </c>
      <c r="C48" s="334">
        <v>57</v>
      </c>
      <c r="D48" s="334">
        <v>10547224.4827205</v>
      </c>
      <c r="E48" s="334">
        <v>101</v>
      </c>
      <c r="F48" s="334">
        <v>14092825</v>
      </c>
    </row>
    <row r="49" spans="1:6">
      <c r="A49" s="348" t="s">
        <v>32</v>
      </c>
      <c r="B49" s="348" t="s">
        <v>40</v>
      </c>
      <c r="C49" s="334">
        <v>0</v>
      </c>
      <c r="D49" s="334">
        <v>0</v>
      </c>
      <c r="E49" s="334">
        <v>3</v>
      </c>
      <c r="F49" s="334">
        <v>19196.490000000002</v>
      </c>
    </row>
    <row r="50" spans="1:6">
      <c r="A50" s="348" t="s">
        <v>32</v>
      </c>
      <c r="B50" s="348" t="s">
        <v>41</v>
      </c>
      <c r="C50" s="334">
        <v>5</v>
      </c>
      <c r="D50" s="334">
        <v>479036.55658480403</v>
      </c>
      <c r="E50" s="334">
        <v>17</v>
      </c>
      <c r="F50" s="334">
        <v>714396.1</v>
      </c>
    </row>
    <row r="51" spans="1:6">
      <c r="A51" s="348" t="s">
        <v>42</v>
      </c>
      <c r="B51" s="348" t="s">
        <v>43</v>
      </c>
      <c r="C51" s="334">
        <v>0</v>
      </c>
      <c r="D51" s="334">
        <v>0</v>
      </c>
      <c r="E51" s="334">
        <v>111</v>
      </c>
      <c r="F51" s="334">
        <v>1614928</v>
      </c>
    </row>
    <row r="52" spans="1:6">
      <c r="A52" s="348" t="s">
        <v>42</v>
      </c>
      <c r="B52" s="348" t="s">
        <v>29</v>
      </c>
      <c r="C52" s="334">
        <v>5</v>
      </c>
      <c r="D52" s="334">
        <v>477335.11291317799</v>
      </c>
      <c r="E52" s="334">
        <v>28</v>
      </c>
      <c r="F52" s="334">
        <v>700678.5</v>
      </c>
    </row>
    <row r="53" spans="1:6">
      <c r="A53" s="348" t="s">
        <v>44</v>
      </c>
      <c r="B53" s="348" t="s">
        <v>45</v>
      </c>
      <c r="C53" s="334">
        <v>121</v>
      </c>
      <c r="D53" s="334">
        <v>2829818.46326883</v>
      </c>
      <c r="E53" s="334">
        <v>285</v>
      </c>
      <c r="F53" s="334">
        <v>1321160</v>
      </c>
    </row>
    <row r="54" spans="1:6">
      <c r="A54" s="348" t="s">
        <v>46</v>
      </c>
      <c r="B54" s="348" t="s">
        <v>47</v>
      </c>
      <c r="C54" s="334">
        <v>0</v>
      </c>
      <c r="D54" s="334">
        <v>0</v>
      </c>
      <c r="E54" s="334">
        <v>1</v>
      </c>
      <c r="F54" s="334">
        <v>1944888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6794135.9863407603</v>
      </c>
      <c r="E57" s="334">
        <v>70</v>
      </c>
      <c r="F57" s="334">
        <v>898922.3</v>
      </c>
    </row>
    <row r="58" spans="1:6">
      <c r="A58" s="348" t="s">
        <v>49</v>
      </c>
      <c r="B58" s="348" t="s">
        <v>51</v>
      </c>
      <c r="C58" s="334">
        <v>4</v>
      </c>
      <c r="D58" s="334">
        <v>62635.426562636902</v>
      </c>
      <c r="E58" s="334">
        <v>24</v>
      </c>
      <c r="F58" s="334">
        <v>251057.2</v>
      </c>
    </row>
    <row r="59" spans="1:6">
      <c r="A59" s="348" t="s">
        <v>49</v>
      </c>
      <c r="B59" s="348" t="s">
        <v>52</v>
      </c>
      <c r="C59" s="334">
        <v>71</v>
      </c>
      <c r="D59" s="334">
        <v>1972211.63774049</v>
      </c>
      <c r="E59" s="334">
        <v>186</v>
      </c>
      <c r="F59" s="334">
        <v>5017889</v>
      </c>
    </row>
    <row r="60" spans="1:6">
      <c r="A60" s="348" t="s">
        <v>49</v>
      </c>
      <c r="B60" s="348" t="s">
        <v>53</v>
      </c>
      <c r="C60" s="334">
        <v>31</v>
      </c>
      <c r="D60" s="334">
        <v>938268.90720187803</v>
      </c>
      <c r="E60" s="334">
        <v>63</v>
      </c>
      <c r="F60" s="334">
        <v>1131318</v>
      </c>
    </row>
    <row r="61" spans="1:6">
      <c r="A61" s="348" t="s">
        <v>49</v>
      </c>
      <c r="B61" s="348" t="s">
        <v>54</v>
      </c>
      <c r="C61" s="334">
        <v>115</v>
      </c>
      <c r="D61" s="334">
        <v>4431985.6331065698</v>
      </c>
      <c r="E61" s="334">
        <v>413</v>
      </c>
      <c r="F61" s="334">
        <v>6732023</v>
      </c>
    </row>
    <row r="62" spans="1:6">
      <c r="A62" s="348" t="s">
        <v>49</v>
      </c>
      <c r="B62" s="348" t="s">
        <v>55</v>
      </c>
      <c r="C62" s="334">
        <v>3</v>
      </c>
      <c r="D62" s="334">
        <v>728937.42273142899</v>
      </c>
      <c r="E62" s="334">
        <v>8</v>
      </c>
      <c r="F62" s="334">
        <v>332601</v>
      </c>
    </row>
    <row r="63" spans="1:6">
      <c r="A63" s="348" t="s">
        <v>49</v>
      </c>
      <c r="B63" s="348" t="s">
        <v>29</v>
      </c>
      <c r="C63" s="334">
        <v>164</v>
      </c>
      <c r="D63" s="334">
        <v>5417048.1393281296</v>
      </c>
      <c r="E63" s="334">
        <v>323</v>
      </c>
      <c r="F63" s="334">
        <v>8666564</v>
      </c>
    </row>
    <row r="64" spans="1:6">
      <c r="A64" s="348" t="s">
        <v>56</v>
      </c>
      <c r="B64" s="348" t="s">
        <v>57</v>
      </c>
      <c r="C64" s="334">
        <v>0</v>
      </c>
      <c r="D64" s="334">
        <v>0</v>
      </c>
      <c r="E64" s="334">
        <v>0</v>
      </c>
      <c r="F64" s="334">
        <v>0</v>
      </c>
    </row>
    <row r="65" spans="1:6">
      <c r="A65" s="348" t="s">
        <v>56</v>
      </c>
      <c r="B65" s="348" t="s">
        <v>29</v>
      </c>
      <c r="C65" s="334">
        <v>1</v>
      </c>
      <c r="D65" s="334">
        <v>8659.5393917585006</v>
      </c>
      <c r="E65" s="334">
        <v>4</v>
      </c>
      <c r="F65" s="334">
        <v>27756.18</v>
      </c>
    </row>
    <row r="66" spans="1:6">
      <c r="A66" s="348" t="s">
        <v>56</v>
      </c>
      <c r="B66" s="348" t="s">
        <v>58</v>
      </c>
      <c r="C66" s="334">
        <v>0</v>
      </c>
      <c r="D66" s="334">
        <v>0</v>
      </c>
      <c r="E66" s="334">
        <v>5</v>
      </c>
      <c r="F66" s="334">
        <v>85216.77</v>
      </c>
    </row>
    <row r="67" spans="1:6">
      <c r="A67" s="355" t="s">
        <v>56</v>
      </c>
      <c r="B67" s="355" t="s">
        <v>59</v>
      </c>
      <c r="C67" s="334">
        <v>0</v>
      </c>
      <c r="D67" s="334">
        <v>0</v>
      </c>
      <c r="E67" s="334">
        <v>0</v>
      </c>
      <c r="F67" s="334">
        <v>0</v>
      </c>
    </row>
    <row r="68" spans="1:6">
      <c r="A68" s="341" t="s">
        <v>56</v>
      </c>
      <c r="B68" s="341" t="s">
        <v>60</v>
      </c>
      <c r="C68" s="334">
        <v>5</v>
      </c>
      <c r="D68" s="334">
        <v>95078.813538226197</v>
      </c>
      <c r="E68" s="334">
        <v>21</v>
      </c>
      <c r="F68" s="334">
        <v>357886.1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48363693</v>
      </c>
      <c r="E73" s="477">
        <v>36250710.391707979</v>
      </c>
    </row>
    <row r="74" spans="1:6">
      <c r="A74" s="348" t="s">
        <v>64</v>
      </c>
      <c r="B74" s="348" t="s">
        <v>714</v>
      </c>
      <c r="C74" s="1229" t="s">
        <v>716</v>
      </c>
      <c r="D74" s="477">
        <v>5002242.4284208138</v>
      </c>
      <c r="E74" s="477">
        <v>3874785.6178553286</v>
      </c>
    </row>
    <row r="75" spans="1:6">
      <c r="A75" s="348" t="s">
        <v>65</v>
      </c>
      <c r="B75" s="348" t="s">
        <v>713</v>
      </c>
      <c r="C75" s="1229" t="s">
        <v>717</v>
      </c>
      <c r="D75" s="477">
        <v>51533081</v>
      </c>
      <c r="E75" s="477">
        <v>38521267.721720025</v>
      </c>
    </row>
    <row r="76" spans="1:6">
      <c r="A76" s="348" t="s">
        <v>65</v>
      </c>
      <c r="B76" s="348" t="s">
        <v>714</v>
      </c>
      <c r="C76" s="1229" t="s">
        <v>718</v>
      </c>
      <c r="D76" s="477">
        <v>2856075.4284208142</v>
      </c>
      <c r="E76" s="477">
        <v>2051208.6929909599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313727.14315837173</v>
      </c>
      <c r="C83" s="477">
        <v>316405.26721915358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10774.434862004788</v>
      </c>
    </row>
    <row r="91" spans="1:6">
      <c r="A91" s="348" t="s">
        <v>68</v>
      </c>
      <c r="B91" s="334">
        <v>4676.0690463471392</v>
      </c>
    </row>
    <row r="92" spans="1:6">
      <c r="A92" s="341" t="s">
        <v>69</v>
      </c>
      <c r="B92" s="342">
        <v>3173.2242072967115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2964</v>
      </c>
    </row>
    <row r="98" spans="1:6">
      <c r="A98" s="348" t="s">
        <v>72</v>
      </c>
      <c r="B98" s="334">
        <v>3</v>
      </c>
    </row>
    <row r="99" spans="1:6">
      <c r="A99" s="348" t="s">
        <v>73</v>
      </c>
      <c r="B99" s="334">
        <v>97</v>
      </c>
    </row>
    <row r="100" spans="1:6">
      <c r="A100" s="348" t="s">
        <v>74</v>
      </c>
      <c r="B100" s="334">
        <v>931</v>
      </c>
    </row>
    <row r="101" spans="1:6">
      <c r="A101" s="348" t="s">
        <v>75</v>
      </c>
      <c r="B101" s="334">
        <v>139</v>
      </c>
    </row>
    <row r="102" spans="1:6">
      <c r="A102" s="348" t="s">
        <v>76</v>
      </c>
      <c r="B102" s="334">
        <v>150</v>
      </c>
    </row>
    <row r="103" spans="1:6">
      <c r="A103" s="348" t="s">
        <v>77</v>
      </c>
      <c r="B103" s="334">
        <v>294</v>
      </c>
    </row>
    <row r="104" spans="1:6">
      <c r="A104" s="348" t="s">
        <v>78</v>
      </c>
      <c r="B104" s="334">
        <v>4270</v>
      </c>
    </row>
    <row r="105" spans="1:6">
      <c r="A105" s="341" t="s">
        <v>79</v>
      </c>
      <c r="B105" s="341">
        <v>13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41</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5</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90867.183140969893</v>
      </c>
      <c r="C3" s="43" t="s">
        <v>170</v>
      </c>
      <c r="D3" s="43"/>
      <c r="E3" s="154"/>
      <c r="F3" s="43"/>
      <c r="G3" s="43"/>
      <c r="H3" s="43"/>
      <c r="I3" s="43"/>
      <c r="J3" s="43"/>
      <c r="K3" s="96"/>
    </row>
    <row r="4" spans="1:11">
      <c r="A4" s="384" t="s">
        <v>171</v>
      </c>
      <c r="B4" s="49">
        <f>IF(ISERROR('SEAP template'!B69),0,'SEAP template'!B69)</f>
        <v>18623.728115648639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0.1757048365395778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1944.8879999999999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1944.8879999999999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0.1757048365395778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341.72622812778638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40633.000999999997</v>
      </c>
      <c r="C5" s="17">
        <f>IF(ISERROR('Eigen informatie GS &amp; warmtenet'!B57),0,'Eigen informatie GS &amp; warmtenet'!B57)</f>
        <v>0</v>
      </c>
      <c r="D5" s="30">
        <f>(SUM(HH_hh_gas_kWh,HH_rest_gas_kWh)/1000)*0.902</f>
        <v>66180.366626967341</v>
      </c>
      <c r="E5" s="17">
        <f>B46*B57</f>
        <v>2955.3448547739217</v>
      </c>
      <c r="F5" s="17">
        <f>B51*B62</f>
        <v>51519.843445181905</v>
      </c>
      <c r="G5" s="18"/>
      <c r="H5" s="17"/>
      <c r="I5" s="17"/>
      <c r="J5" s="17">
        <f>B50*B61+C50*C61</f>
        <v>1832.5770574960784</v>
      </c>
      <c r="K5" s="17"/>
      <c r="L5" s="17"/>
      <c r="M5" s="17"/>
      <c r="N5" s="17">
        <f>B48*B59+C48*C59</f>
        <v>16060.143368933641</v>
      </c>
      <c r="O5" s="17">
        <f>B69*B70*B71</f>
        <v>393.96000000000004</v>
      </c>
      <c r="P5" s="17">
        <f>B77*B78*B79/1000-B77*B78*B79/1000/B80</f>
        <v>953.33333333333326</v>
      </c>
    </row>
    <row r="6" spans="1:16">
      <c r="A6" s="16" t="s">
        <v>631</v>
      </c>
      <c r="B6" s="844">
        <f>kWh_PV_kleiner_dan_10kW</f>
        <v>4676.0690463471392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45309.070046347137</v>
      </c>
      <c r="C8" s="21">
        <f>C5</f>
        <v>0</v>
      </c>
      <c r="D8" s="21">
        <f>D5</f>
        <v>66180.366626967341</v>
      </c>
      <c r="E8" s="21">
        <f>E5</f>
        <v>2955.3448547739217</v>
      </c>
      <c r="F8" s="21">
        <f>F5</f>
        <v>51519.843445181905</v>
      </c>
      <c r="G8" s="21"/>
      <c r="H8" s="21"/>
      <c r="I8" s="21"/>
      <c r="J8" s="21">
        <f>J5</f>
        <v>1832.5770574960784</v>
      </c>
      <c r="K8" s="21"/>
      <c r="L8" s="21">
        <f>L5</f>
        <v>0</v>
      </c>
      <c r="M8" s="21">
        <f>M5</f>
        <v>0</v>
      </c>
      <c r="N8" s="21">
        <f>N5</f>
        <v>16060.143368933641</v>
      </c>
      <c r="O8" s="21">
        <f>O5</f>
        <v>393.96000000000004</v>
      </c>
      <c r="P8" s="21">
        <f>P5</f>
        <v>953.33333333333326</v>
      </c>
    </row>
    <row r="9" spans="1:16">
      <c r="B9" s="19"/>
      <c r="C9" s="19"/>
      <c r="D9" s="258"/>
      <c r="E9" s="19"/>
      <c r="F9" s="19"/>
      <c r="G9" s="19"/>
      <c r="H9" s="19"/>
      <c r="I9" s="19"/>
      <c r="J9" s="19"/>
      <c r="K9" s="19"/>
      <c r="L9" s="19"/>
      <c r="M9" s="19"/>
      <c r="N9" s="19"/>
      <c r="O9" s="19"/>
      <c r="P9" s="19"/>
    </row>
    <row r="10" spans="1:16">
      <c r="A10" s="24" t="s">
        <v>214</v>
      </c>
      <c r="B10" s="25">
        <f ca="1">'EF ele_warmte'!B12</f>
        <v>0.1757048365395778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7961.0227462537041</v>
      </c>
      <c r="C12" s="23">
        <f ca="1">C10*C8</f>
        <v>0</v>
      </c>
      <c r="D12" s="23">
        <f>D8*D10</f>
        <v>13368.434058647405</v>
      </c>
      <c r="E12" s="23">
        <f>E10*E8</f>
        <v>670.86328203368021</v>
      </c>
      <c r="F12" s="23">
        <f>F10*F8</f>
        <v>13755.79819986357</v>
      </c>
      <c r="G12" s="23"/>
      <c r="H12" s="23"/>
      <c r="I12" s="23"/>
      <c r="J12" s="23">
        <f>J10*J8</f>
        <v>648.73227835361172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2964</v>
      </c>
      <c r="C18" s="166" t="s">
        <v>111</v>
      </c>
      <c r="D18" s="228"/>
      <c r="E18" s="15"/>
    </row>
    <row r="19" spans="1:7">
      <c r="A19" s="171" t="s">
        <v>72</v>
      </c>
      <c r="B19" s="37">
        <f>aantalw2001_ander</f>
        <v>3</v>
      </c>
      <c r="C19" s="166" t="s">
        <v>111</v>
      </c>
      <c r="D19" s="229"/>
      <c r="E19" s="15"/>
    </row>
    <row r="20" spans="1:7">
      <c r="A20" s="171" t="s">
        <v>73</v>
      </c>
      <c r="B20" s="37">
        <f>aantalw2001_propaan</f>
        <v>97</v>
      </c>
      <c r="C20" s="167">
        <f>IF(ISERROR(B20/SUM($B$20,$B$21,$B$22)*100),0,B20/SUM($B$20,$B$21,$B$22)*100)</f>
        <v>8.3119108826049697</v>
      </c>
      <c r="D20" s="229"/>
      <c r="E20" s="15"/>
    </row>
    <row r="21" spans="1:7">
      <c r="A21" s="171" t="s">
        <v>74</v>
      </c>
      <c r="B21" s="37">
        <f>aantalw2001_elektriciteit</f>
        <v>931</v>
      </c>
      <c r="C21" s="167">
        <f>IF(ISERROR(B21/SUM($B$20,$B$21,$B$22)*100),0,B21/SUM($B$20,$B$21,$B$22)*100)</f>
        <v>79.777206512425025</v>
      </c>
      <c r="D21" s="229"/>
      <c r="E21" s="15"/>
    </row>
    <row r="22" spans="1:7">
      <c r="A22" s="171" t="s">
        <v>75</v>
      </c>
      <c r="B22" s="37">
        <f>aantalw2001_hout</f>
        <v>139</v>
      </c>
      <c r="C22" s="167">
        <f>IF(ISERROR(B22/SUM($B$20,$B$21,$B$22)*100),0,B22/SUM($B$20,$B$21,$B$22)*100)</f>
        <v>11.910882604970009</v>
      </c>
      <c r="D22" s="229"/>
      <c r="E22" s="15"/>
    </row>
    <row r="23" spans="1:7">
      <c r="A23" s="171" t="s">
        <v>76</v>
      </c>
      <c r="B23" s="37">
        <f>aantalw2001_niet_gespec</f>
        <v>150</v>
      </c>
      <c r="C23" s="166" t="s">
        <v>111</v>
      </c>
      <c r="D23" s="228"/>
      <c r="E23" s="15"/>
    </row>
    <row r="24" spans="1:7">
      <c r="A24" s="171" t="s">
        <v>77</v>
      </c>
      <c r="B24" s="37">
        <f>aantalw2001_steenkool</f>
        <v>294</v>
      </c>
      <c r="C24" s="166" t="s">
        <v>111</v>
      </c>
      <c r="D24" s="229"/>
      <c r="E24" s="15"/>
    </row>
    <row r="25" spans="1:7">
      <c r="A25" s="171" t="s">
        <v>78</v>
      </c>
      <c r="B25" s="37">
        <f>aantalw2001_stookolie</f>
        <v>4270</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740</v>
      </c>
      <c r="B28" s="37">
        <f>aantalHuishoudens2011</f>
        <v>9961</v>
      </c>
      <c r="C28" s="36"/>
      <c r="D28" s="228"/>
    </row>
    <row r="29" spans="1:7" s="15" customFormat="1">
      <c r="A29" s="230" t="s">
        <v>741</v>
      </c>
      <c r="B29" s="37">
        <f>SUM(HH_hh_gas_aantal,HH_rest_gas_aantal)</f>
        <v>5383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5383</v>
      </c>
      <c r="C32" s="167">
        <f>IF(ISERROR(B32/SUM($B$32,$B$34,$B$35,$B$36,$B$38,$B$39)*100),0,B32/SUM($B$32,$B$34,$B$35,$B$36,$B$38,$B$39)*100)</f>
        <v>54.313389163555648</v>
      </c>
      <c r="D32" s="233"/>
      <c r="G32" s="15"/>
    </row>
    <row r="33" spans="1:7">
      <c r="A33" s="171" t="s">
        <v>72</v>
      </c>
      <c r="B33" s="34" t="s">
        <v>111</v>
      </c>
      <c r="C33" s="167"/>
      <c r="D33" s="233"/>
      <c r="G33" s="15"/>
    </row>
    <row r="34" spans="1:7">
      <c r="A34" s="171" t="s">
        <v>73</v>
      </c>
      <c r="B34" s="33">
        <f>IF((($B$28-$B$32-$B$39-$B$77-$B$38)*C20/100)&lt;0,0,($B$28-$B$32-$B$39-$B$77-$B$38)*C20/100)</f>
        <v>198.07283633247644</v>
      </c>
      <c r="C34" s="167">
        <f>IF(ISERROR(B34/SUM($B$32,$B$34,$B$35,$B$36,$B$38,$B$39)*100),0,B34/SUM($B$32,$B$34,$B$35,$B$36,$B$38,$B$39)*100)</f>
        <v>1.9985151481432393</v>
      </c>
      <c r="D34" s="233"/>
      <c r="G34" s="15"/>
    </row>
    <row r="35" spans="1:7">
      <c r="A35" s="171" t="s">
        <v>74</v>
      </c>
      <c r="B35" s="33">
        <f>IF((($B$28-$B$32-$B$39-$B$77-$B$38)*C21/100)&lt;0,0,($B$28-$B$32-$B$39-$B$77-$B$38)*C21/100)</f>
        <v>1901.0908311910885</v>
      </c>
      <c r="C35" s="167">
        <f>IF(ISERROR(B35/SUM($B$32,$B$34,$B$35,$B$36,$B$38,$B$39)*100),0,B35/SUM($B$32,$B$34,$B$35,$B$36,$B$38,$B$39)*100)</f>
        <v>19.18162477238511</v>
      </c>
      <c r="D35" s="233"/>
      <c r="G35" s="15"/>
    </row>
    <row r="36" spans="1:7">
      <c r="A36" s="171" t="s">
        <v>75</v>
      </c>
      <c r="B36" s="33">
        <f>IF((($B$28-$B$32-$B$39-$B$77-$B$38)*C22/100)&lt;0,0,($B$28-$B$32-$B$39-$B$77-$B$38)*C22/100)</f>
        <v>283.8363324764353</v>
      </c>
      <c r="C36" s="167">
        <f>IF(ISERROR(B36/SUM($B$32,$B$34,$B$35,$B$36,$B$38,$B$39)*100),0,B36/SUM($B$32,$B$34,$B$35,$B$36,$B$38,$B$39)*100)</f>
        <v>2.8638516040403119</v>
      </c>
      <c r="D36" s="233"/>
      <c r="G36" s="15"/>
    </row>
    <row r="37" spans="1:7">
      <c r="A37" s="171" t="s">
        <v>76</v>
      </c>
      <c r="B37" s="34" t="s">
        <v>111</v>
      </c>
      <c r="C37" s="167"/>
      <c r="D37" s="173"/>
      <c r="G37" s="15"/>
    </row>
    <row r="38" spans="1:7">
      <c r="A38" s="171" t="s">
        <v>77</v>
      </c>
      <c r="B38" s="33">
        <f>IF((B24-(B29-B18)*0.1)&lt;0,0,B24-(B29-B18)*0.1)</f>
        <v>52.099999999999994</v>
      </c>
      <c r="C38" s="167">
        <f>IF(ISERROR(B38/SUM($B$32,$B$34,$B$35,$B$36,$B$38,$B$39)*100),0,B38/SUM($B$32,$B$34,$B$35,$B$36,$B$38,$B$39)*100)</f>
        <v>0.52567853899707384</v>
      </c>
      <c r="D38" s="234"/>
      <c r="G38" s="15"/>
    </row>
    <row r="39" spans="1:7">
      <c r="A39" s="171" t="s">
        <v>78</v>
      </c>
      <c r="B39" s="33">
        <f>IF((B25-(B29-B18))&lt;0,0,B25-(B29-B18)*0.9)</f>
        <v>2092.9</v>
      </c>
      <c r="C39" s="167">
        <f>IF(ISERROR(B39/SUM($B$32,$B$34,$B$35,$B$36,$B$38,$B$39)*100),0,B39/SUM($B$32,$B$34,$B$35,$B$36,$B$38,$B$39)*100)</f>
        <v>21.116940772878621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5383</v>
      </c>
      <c r="C44" s="34" t="s">
        <v>111</v>
      </c>
      <c r="D44" s="174"/>
    </row>
    <row r="45" spans="1:7">
      <c r="A45" s="171" t="s">
        <v>72</v>
      </c>
      <c r="B45" s="33" t="str">
        <f t="shared" si="0"/>
        <v>-</v>
      </c>
      <c r="C45" s="34" t="s">
        <v>111</v>
      </c>
      <c r="D45" s="174"/>
    </row>
    <row r="46" spans="1:7">
      <c r="A46" s="171" t="s">
        <v>73</v>
      </c>
      <c r="B46" s="33">
        <f t="shared" si="0"/>
        <v>198.07283633247644</v>
      </c>
      <c r="C46" s="34" t="s">
        <v>111</v>
      </c>
      <c r="D46" s="174"/>
    </row>
    <row r="47" spans="1:7">
      <c r="A47" s="171" t="s">
        <v>74</v>
      </c>
      <c r="B47" s="33">
        <f t="shared" si="0"/>
        <v>1901.0908311910885</v>
      </c>
      <c r="C47" s="34" t="s">
        <v>111</v>
      </c>
      <c r="D47" s="174"/>
    </row>
    <row r="48" spans="1:7">
      <c r="A48" s="171" t="s">
        <v>75</v>
      </c>
      <c r="B48" s="33">
        <f t="shared" si="0"/>
        <v>283.8363324764353</v>
      </c>
      <c r="C48" s="33">
        <f>B48*10</f>
        <v>2838.3633247643529</v>
      </c>
      <c r="D48" s="234"/>
    </row>
    <row r="49" spans="1:6">
      <c r="A49" s="171" t="s">
        <v>76</v>
      </c>
      <c r="B49" s="33" t="str">
        <f t="shared" si="0"/>
        <v>-</v>
      </c>
      <c r="C49" s="34" t="s">
        <v>111</v>
      </c>
      <c r="D49" s="234"/>
    </row>
    <row r="50" spans="1:6">
      <c r="A50" s="171" t="s">
        <v>77</v>
      </c>
      <c r="B50" s="33">
        <f t="shared" si="0"/>
        <v>52.099999999999994</v>
      </c>
      <c r="C50" s="33">
        <f>B50*2</f>
        <v>104.19999999999999</v>
      </c>
      <c r="D50" s="234"/>
    </row>
    <row r="51" spans="1:6">
      <c r="A51" s="171" t="s">
        <v>78</v>
      </c>
      <c r="B51" s="33">
        <f t="shared" si="0"/>
        <v>2092.9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23030.374499999998</v>
      </c>
      <c r="C5" s="17">
        <f>IF(ISERROR('Eigen informatie GS &amp; warmtenet'!B58),0,'Eigen informatie GS &amp; warmtenet'!B58)</f>
        <v>0</v>
      </c>
      <c r="D5" s="30">
        <f>SUM(D6:D12)</f>
        <v>18351.391284016729</v>
      </c>
      <c r="E5" s="17">
        <f>SUM(E6:E12)</f>
        <v>202.75566788170096</v>
      </c>
      <c r="F5" s="17">
        <f>SUM(F6:F12)</f>
        <v>3250.4996400475461</v>
      </c>
      <c r="G5" s="18"/>
      <c r="H5" s="17"/>
      <c r="I5" s="17"/>
      <c r="J5" s="17">
        <f>SUM(J6:J12)</f>
        <v>0</v>
      </c>
      <c r="K5" s="17"/>
      <c r="L5" s="17"/>
      <c r="M5" s="17"/>
      <c r="N5" s="17">
        <f>SUM(N6:N12)</f>
        <v>1483.0863184961709</v>
      </c>
      <c r="O5" s="17">
        <f>B38*B39*B40</f>
        <v>7.8166666666666664</v>
      </c>
      <c r="P5" s="17">
        <f>B46*B47*B48/1000-B46*B47*B48/1000/B49</f>
        <v>19.066666666666666</v>
      </c>
      <c r="R5" s="32"/>
    </row>
    <row r="6" spans="1:18">
      <c r="A6" s="32" t="s">
        <v>54</v>
      </c>
      <c r="B6" s="37">
        <f>B26</f>
        <v>6732.0230000000001</v>
      </c>
      <c r="C6" s="33"/>
      <c r="D6" s="37">
        <f>IF(ISERROR(TER_kantoor_gas_kWh/1000),0,TER_kantoor_gas_kWh/1000)*0.902</f>
        <v>3997.6510410621258</v>
      </c>
      <c r="E6" s="33">
        <f>$C$26*'E Balans VL '!I12/100/3.6*1000000</f>
        <v>19.503658358826591</v>
      </c>
      <c r="F6" s="33">
        <f>$C$26*('E Balans VL '!L12+'E Balans VL '!N12)/100/3.6*1000000</f>
        <v>761.9166856338702</v>
      </c>
      <c r="G6" s="34"/>
      <c r="H6" s="33"/>
      <c r="I6" s="33"/>
      <c r="J6" s="33">
        <f>$C$26*('E Balans VL '!D12+'E Balans VL '!E12)/100/3.6*1000000</f>
        <v>0</v>
      </c>
      <c r="K6" s="33"/>
      <c r="L6" s="33"/>
      <c r="M6" s="33"/>
      <c r="N6" s="33">
        <f>$C$26*'E Balans VL '!Y12/100/3.6*1000000</f>
        <v>67.382589853978914</v>
      </c>
      <c r="O6" s="33"/>
      <c r="P6" s="33"/>
      <c r="R6" s="32"/>
    </row>
    <row r="7" spans="1:18">
      <c r="A7" s="32" t="s">
        <v>53</v>
      </c>
      <c r="B7" s="37">
        <f t="shared" ref="B7:B12" si="0">B27</f>
        <v>1131.318</v>
      </c>
      <c r="C7" s="33"/>
      <c r="D7" s="37">
        <f>IF(ISERROR(TER_horeca_gas_kWh/1000),0,TER_horeca_gas_kWh/1000)*0.902</f>
        <v>846.31855429609402</v>
      </c>
      <c r="E7" s="33">
        <f>$C$27*'E Balans VL '!I9/100/3.6*1000000</f>
        <v>47.489568799978315</v>
      </c>
      <c r="F7" s="33">
        <f>$C$27*('E Balans VL '!L9+'E Balans VL '!N9)/100/3.6*1000000</f>
        <v>243.08687216062125</v>
      </c>
      <c r="G7" s="34"/>
      <c r="H7" s="33"/>
      <c r="I7" s="33"/>
      <c r="J7" s="33">
        <f>$C$27*('E Balans VL '!D9+'E Balans VL '!E9)/100/3.6*1000000</f>
        <v>0</v>
      </c>
      <c r="K7" s="33"/>
      <c r="L7" s="33"/>
      <c r="M7" s="33"/>
      <c r="N7" s="33">
        <f>$C$27*'E Balans VL '!Y9/100/3.6*1000000</f>
        <v>0.29153075486517188</v>
      </c>
      <c r="O7" s="33"/>
      <c r="P7" s="33"/>
      <c r="R7" s="32"/>
    </row>
    <row r="8" spans="1:18">
      <c r="A8" s="6" t="s">
        <v>52</v>
      </c>
      <c r="B8" s="37">
        <f t="shared" si="0"/>
        <v>5017.8890000000001</v>
      </c>
      <c r="C8" s="33"/>
      <c r="D8" s="37">
        <f>IF(ISERROR(TER_handel_gas_kWh/1000),0,TER_handel_gas_kWh/1000)*0.902</f>
        <v>1778.934897241922</v>
      </c>
      <c r="E8" s="33">
        <f>$C$28*'E Balans VL '!I13/100/3.6*1000000</f>
        <v>53.89630413029758</v>
      </c>
      <c r="F8" s="33">
        <f>$C$28*('E Balans VL '!L13+'E Balans VL '!N13)/100/3.6*1000000</f>
        <v>649.60716792314952</v>
      </c>
      <c r="G8" s="34"/>
      <c r="H8" s="33"/>
      <c r="I8" s="33"/>
      <c r="J8" s="33">
        <f>$C$28*('E Balans VL '!D13+'E Balans VL '!E13)/100/3.6*1000000</f>
        <v>0</v>
      </c>
      <c r="K8" s="33"/>
      <c r="L8" s="33"/>
      <c r="M8" s="33"/>
      <c r="N8" s="33">
        <f>$C$28*'E Balans VL '!Y13/100/3.6*1000000</f>
        <v>40.705389556652307</v>
      </c>
      <c r="O8" s="33"/>
      <c r="P8" s="33"/>
      <c r="R8" s="32"/>
    </row>
    <row r="9" spans="1:18">
      <c r="A9" s="32" t="s">
        <v>51</v>
      </c>
      <c r="B9" s="37">
        <f t="shared" si="0"/>
        <v>251.05720000000002</v>
      </c>
      <c r="C9" s="33"/>
      <c r="D9" s="37">
        <f>IF(ISERROR(TER_gezond_gas_kWh/1000),0,TER_gezond_gas_kWh/1000)*0.902</f>
        <v>56.497154759498486</v>
      </c>
      <c r="E9" s="33">
        <f>$C$29*'E Balans VL '!I10/100/3.6*1000000</f>
        <v>0.19985776914466866</v>
      </c>
      <c r="F9" s="33">
        <f>$C$29*('E Balans VL '!L10+'E Balans VL '!N10)/100/3.6*1000000</f>
        <v>30.519630763324741</v>
      </c>
      <c r="G9" s="34"/>
      <c r="H9" s="33"/>
      <c r="I9" s="33"/>
      <c r="J9" s="33">
        <f>$C$29*('E Balans VL '!D10+'E Balans VL '!E10)/100/3.6*1000000</f>
        <v>0</v>
      </c>
      <c r="K9" s="33"/>
      <c r="L9" s="33"/>
      <c r="M9" s="33"/>
      <c r="N9" s="33">
        <f>$C$29*'E Balans VL '!Y10/100/3.6*1000000</f>
        <v>2.0279735483650265</v>
      </c>
      <c r="O9" s="33"/>
      <c r="P9" s="33"/>
      <c r="R9" s="32"/>
    </row>
    <row r="10" spans="1:18">
      <c r="A10" s="32" t="s">
        <v>50</v>
      </c>
      <c r="B10" s="37">
        <f t="shared" si="0"/>
        <v>898.92230000000006</v>
      </c>
      <c r="C10" s="33"/>
      <c r="D10" s="37">
        <f>IF(ISERROR(TER_ander_gas_kWh/1000),0,TER_ander_gas_kWh/1000)*0.902</f>
        <v>6128.3106596793659</v>
      </c>
      <c r="E10" s="33">
        <f>$C$30*'E Balans VL '!I14/100/3.6*1000000</f>
        <v>3.0806539454242752</v>
      </c>
      <c r="F10" s="33">
        <f>$C$30*('E Balans VL '!L14+'E Balans VL '!N14)/100/3.6*1000000</f>
        <v>200.78271392058681</v>
      </c>
      <c r="G10" s="34"/>
      <c r="H10" s="33"/>
      <c r="I10" s="33"/>
      <c r="J10" s="33">
        <f>$C$30*('E Balans VL '!D14+'E Balans VL '!E14)/100/3.6*1000000</f>
        <v>0</v>
      </c>
      <c r="K10" s="33"/>
      <c r="L10" s="33"/>
      <c r="M10" s="33"/>
      <c r="N10" s="33">
        <f>$C$30*'E Balans VL '!Y14/100/3.6*1000000</f>
        <v>633.2057788365338</v>
      </c>
      <c r="O10" s="33"/>
      <c r="P10" s="33"/>
      <c r="R10" s="32"/>
    </row>
    <row r="11" spans="1:18">
      <c r="A11" s="32" t="s">
        <v>55</v>
      </c>
      <c r="B11" s="37">
        <f t="shared" si="0"/>
        <v>332.601</v>
      </c>
      <c r="C11" s="33"/>
      <c r="D11" s="37">
        <f>IF(ISERROR(TER_onderwijs_gas_kWh/1000),0,TER_onderwijs_gas_kWh/1000)*0.902</f>
        <v>657.501555303749</v>
      </c>
      <c r="E11" s="33">
        <f>$C$31*'E Balans VL '!I11/100/3.6*1000000</f>
        <v>0.22991682799536084</v>
      </c>
      <c r="F11" s="33">
        <f>$C$31*('E Balans VL '!L11+'E Balans VL '!N11)/100/3.6*1000000</f>
        <v>87.065280396491971</v>
      </c>
      <c r="G11" s="34"/>
      <c r="H11" s="33"/>
      <c r="I11" s="33"/>
      <c r="J11" s="33">
        <f>$C$31*('E Balans VL '!D11+'E Balans VL '!E11)/100/3.6*1000000</f>
        <v>0</v>
      </c>
      <c r="K11" s="33"/>
      <c r="L11" s="33"/>
      <c r="M11" s="33"/>
      <c r="N11" s="33">
        <f>$C$31*'E Balans VL '!Y11/100/3.6*1000000</f>
        <v>0.33107596675669598</v>
      </c>
      <c r="O11" s="33"/>
      <c r="P11" s="33"/>
      <c r="R11" s="32"/>
    </row>
    <row r="12" spans="1:18">
      <c r="A12" s="32" t="s">
        <v>260</v>
      </c>
      <c r="B12" s="37">
        <f t="shared" si="0"/>
        <v>8666.5640000000003</v>
      </c>
      <c r="C12" s="33"/>
      <c r="D12" s="37">
        <f>IF(ISERROR(TER_rest_gas_kWh/1000),0,TER_rest_gas_kWh/1000)*0.902</f>
        <v>4886.1774216739732</v>
      </c>
      <c r="E12" s="33">
        <f>$C$32*'E Balans VL '!I8/100/3.6*1000000</f>
        <v>78.355708050034167</v>
      </c>
      <c r="F12" s="33">
        <f>$C$32*('E Balans VL '!L8+'E Balans VL '!N8)/100/3.6*1000000</f>
        <v>1277.5212892495017</v>
      </c>
      <c r="G12" s="34"/>
      <c r="H12" s="33"/>
      <c r="I12" s="33"/>
      <c r="J12" s="33">
        <f>$C$32*('E Balans VL '!D8+'E Balans VL '!E8)/100/3.6*1000000</f>
        <v>0</v>
      </c>
      <c r="K12" s="33"/>
      <c r="L12" s="33"/>
      <c r="M12" s="33"/>
      <c r="N12" s="33">
        <f>$C$32*'E Balans VL '!Y8/100/3.6*1000000</f>
        <v>739.14197997901897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23030.374499999998</v>
      </c>
      <c r="C16" s="21">
        <f t="shared" ca="1" si="1"/>
        <v>0</v>
      </c>
      <c r="D16" s="21">
        <f t="shared" ca="1" si="1"/>
        <v>18351.391284016729</v>
      </c>
      <c r="E16" s="21">
        <f t="shared" si="1"/>
        <v>202.75566788170096</v>
      </c>
      <c r="F16" s="21">
        <f t="shared" ca="1" si="1"/>
        <v>3250.4996400475461</v>
      </c>
      <c r="G16" s="21">
        <f t="shared" si="1"/>
        <v>0</v>
      </c>
      <c r="H16" s="21">
        <f t="shared" si="1"/>
        <v>0</v>
      </c>
      <c r="I16" s="21">
        <f t="shared" si="1"/>
        <v>0</v>
      </c>
      <c r="J16" s="21">
        <f t="shared" si="1"/>
        <v>0</v>
      </c>
      <c r="K16" s="21">
        <f t="shared" si="1"/>
        <v>0</v>
      </c>
      <c r="L16" s="21">
        <f t="shared" ca="1" si="1"/>
        <v>0</v>
      </c>
      <c r="M16" s="21">
        <f t="shared" si="1"/>
        <v>0</v>
      </c>
      <c r="N16" s="21">
        <f t="shared" ca="1" si="1"/>
        <v>1483.0863184961709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0.1757048365395778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4046.5481869677606</v>
      </c>
      <c r="C20" s="23">
        <f t="shared" ref="C20:P20" ca="1" si="2">C16*C18</f>
        <v>0</v>
      </c>
      <c r="D20" s="23">
        <f t="shared" ca="1" si="2"/>
        <v>3706.9810393713792</v>
      </c>
      <c r="E20" s="23">
        <f t="shared" si="2"/>
        <v>46.025536609146116</v>
      </c>
      <c r="F20" s="23">
        <f t="shared" ca="1" si="2"/>
        <v>867.8834038926949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6732.0230000000001</v>
      </c>
      <c r="C26" s="39">
        <f>IF(ISERROR(B26*3.6/1000000/'E Balans VL '!Z12*100),0,B26*3.6/1000000/'E Balans VL '!Z12*100)</f>
        <v>0.14787666819295595</v>
      </c>
      <c r="D26" s="237" t="s">
        <v>692</v>
      </c>
      <c r="F26" s="6"/>
    </row>
    <row r="27" spans="1:18">
      <c r="A27" s="231" t="s">
        <v>53</v>
      </c>
      <c r="B27" s="33">
        <f>IF(ISERROR(TER_horeca_ele_kWh/1000),0,TER_horeca_ele_kWh/1000)</f>
        <v>1131.318</v>
      </c>
      <c r="C27" s="39">
        <f>IF(ISERROR(B27*3.6/1000000/'E Balans VL '!Z9*100),0,B27*3.6/1000000/'E Balans VL '!Z9*100)</f>
        <v>9.0912678411018855E-2</v>
      </c>
      <c r="D27" s="237" t="s">
        <v>692</v>
      </c>
      <c r="F27" s="6"/>
    </row>
    <row r="28" spans="1:18">
      <c r="A28" s="171" t="s">
        <v>52</v>
      </c>
      <c r="B28" s="33">
        <f>IF(ISERROR(TER_handel_ele_kWh/1000),0,TER_handel_ele_kWh/1000)</f>
        <v>5017.8890000000001</v>
      </c>
      <c r="C28" s="39">
        <f>IF(ISERROR(B28*3.6/1000000/'E Balans VL '!Z13*100),0,B28*3.6/1000000/'E Balans VL '!Z13*100)</f>
        <v>0.14837547215913965</v>
      </c>
      <c r="D28" s="237" t="s">
        <v>692</v>
      </c>
      <c r="F28" s="6"/>
    </row>
    <row r="29" spans="1:18">
      <c r="A29" s="231" t="s">
        <v>51</v>
      </c>
      <c r="B29" s="33">
        <f>IF(ISERROR(TER_gezond_ele_kWh/1000),0,TER_gezond_ele_kWh/1000)</f>
        <v>251.05720000000002</v>
      </c>
      <c r="C29" s="39">
        <f>IF(ISERROR(B29*3.6/1000000/'E Balans VL '!Z10*100),0,B29*3.6/1000000/'E Balans VL '!Z10*100)</f>
        <v>2.8287664714461556E-2</v>
      </c>
      <c r="D29" s="237" t="s">
        <v>692</v>
      </c>
      <c r="F29" s="6"/>
    </row>
    <row r="30" spans="1:18">
      <c r="A30" s="231" t="s">
        <v>50</v>
      </c>
      <c r="B30" s="33">
        <f>IF(ISERROR(TER_ander_ele_kWh/1000),0,TER_ander_ele_kWh/1000)</f>
        <v>898.92230000000006</v>
      </c>
      <c r="C30" s="39">
        <f>IF(ISERROR(B30*3.6/1000000/'E Balans VL '!Z14*100),0,B30*3.6/1000000/'E Balans VL '!Z14*100)</f>
        <v>6.7983956910738205E-2</v>
      </c>
      <c r="D30" s="237" t="s">
        <v>692</v>
      </c>
      <c r="F30" s="6"/>
    </row>
    <row r="31" spans="1:18">
      <c r="A31" s="231" t="s">
        <v>55</v>
      </c>
      <c r="B31" s="33">
        <f>IF(ISERROR(TER_onderwijs_ele_kWh/1000),0,TER_onderwijs_ele_kWh/1000)</f>
        <v>332.601</v>
      </c>
      <c r="C31" s="39">
        <f>IF(ISERROR(B31*3.6/1000000/'E Balans VL '!Z11*100),0,B31*3.6/1000000/'E Balans VL '!Z11*100)</f>
        <v>6.9040246599250843E-2</v>
      </c>
      <c r="D31" s="237" t="s">
        <v>692</v>
      </c>
    </row>
    <row r="32" spans="1:18">
      <c r="A32" s="231" t="s">
        <v>260</v>
      </c>
      <c r="B32" s="33">
        <f>IF(ISERROR(TER_rest_ele_kWh/1000),0,TER_rest_ele_kWh/1000)</f>
        <v>8666.5640000000003</v>
      </c>
      <c r="C32" s="39">
        <f>IF(ISERROR(B32*3.6/1000000/'E Balans VL '!Z8*100),0,B32*3.6/1000000/'E Balans VL '!Z8*100)</f>
        <v>7.3010703333053178E-2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18253.552889999999</v>
      </c>
      <c r="C5" s="17">
        <f>IF(ISERROR('Eigen informatie GS &amp; warmtenet'!B59),0,'Eigen informatie GS &amp; warmtenet'!B59)</f>
        <v>0</v>
      </c>
      <c r="D5" s="30">
        <f>SUM(D6:D15)</f>
        <v>142630.77877938873</v>
      </c>
      <c r="E5" s="17">
        <f>SUM(E6:E15)</f>
        <v>1236.65263685745</v>
      </c>
      <c r="F5" s="17">
        <f>SUM(F6:F15)</f>
        <v>6350.2420471003052</v>
      </c>
      <c r="G5" s="18"/>
      <c r="H5" s="17"/>
      <c r="I5" s="17"/>
      <c r="J5" s="17">
        <f>SUM(J6:J15)</f>
        <v>76.221892780400879</v>
      </c>
      <c r="K5" s="17"/>
      <c r="L5" s="17"/>
      <c r="M5" s="17"/>
      <c r="N5" s="17">
        <f>SUM(N6:N15)</f>
        <v>3680.8411687342259</v>
      </c>
      <c r="O5" s="17">
        <f>B43*B44*B45</f>
        <v>0</v>
      </c>
      <c r="P5" s="17">
        <f>B51*B52*B53/1000-B51*B52*B53/1000/B54</f>
        <v>0</v>
      </c>
      <c r="R5" s="32"/>
    </row>
    <row r="6" spans="1:18">
      <c r="A6" s="6" t="s">
        <v>35</v>
      </c>
      <c r="B6" s="37">
        <f>IF( ISERROR(IND_ijzer_ele_kWh/1000),0,IND_ijzer_ele_kWh/1000)</f>
        <v>232.74189999999999</v>
      </c>
      <c r="C6" s="33"/>
      <c r="D6" s="37">
        <f>IF( ISERROR(IND_ijzer_gas_kWh/1000),0,IND_ijzer_gas_kWh/1000)*0.902</f>
        <v>131525.02155593241</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1311.4839999999999</v>
      </c>
      <c r="C8" s="33"/>
      <c r="D8" s="37">
        <f>IF( ISERROR(IND_metaal_Gas_kWH/1000),0,IND_metaal_Gas_kWH/1000)*0.902</f>
        <v>0</v>
      </c>
      <c r="E8" s="33">
        <f>C30*'E Balans VL '!I18/100/3.6*1000000</f>
        <v>32.821854424336379</v>
      </c>
      <c r="F8" s="33">
        <f>C30*'E Balans VL '!L18/100/3.6*1000000+C30*'E Balans VL '!N18/100/3.6*1000000</f>
        <v>411.02560925691438</v>
      </c>
      <c r="G8" s="34"/>
      <c r="H8" s="33"/>
      <c r="I8" s="33"/>
      <c r="J8" s="40">
        <f>C30*'E Balans VL '!D18/100/3.6*1000000+C30*'E Balans VL '!E18/100/3.6*1000000</f>
        <v>0</v>
      </c>
      <c r="K8" s="33"/>
      <c r="L8" s="33"/>
      <c r="M8" s="33"/>
      <c r="N8" s="33">
        <f>C30*'E Balans VL '!Y18/100/3.6*1000000</f>
        <v>32.94788167777601</v>
      </c>
      <c r="O8" s="33"/>
      <c r="P8" s="33"/>
      <c r="R8" s="32"/>
    </row>
    <row r="9" spans="1:18">
      <c r="A9" s="6" t="s">
        <v>33</v>
      </c>
      <c r="B9" s="37">
        <f t="shared" si="0"/>
        <v>1743.029</v>
      </c>
      <c r="C9" s="33"/>
      <c r="D9" s="37">
        <f>IF( ISERROR(IND_andere_gas_kWh/1000),0,IND_andere_gas_kWh/1000)*0.902</f>
        <v>966.5974067675694</v>
      </c>
      <c r="E9" s="33">
        <f>C31*'E Balans VL '!I19/100/3.6*1000000</f>
        <v>479.26148456866281</v>
      </c>
      <c r="F9" s="33">
        <f>C31*'E Balans VL '!L19/100/3.6*1000000+C31*'E Balans VL '!N19/100/3.6*1000000</f>
        <v>1373.8101608229547</v>
      </c>
      <c r="G9" s="34"/>
      <c r="H9" s="33"/>
      <c r="I9" s="33"/>
      <c r="J9" s="40">
        <f>C31*'E Balans VL '!D19/100/3.6*1000000+C31*'E Balans VL '!E19/100/3.6*1000000</f>
        <v>0</v>
      </c>
      <c r="K9" s="33"/>
      <c r="L9" s="33"/>
      <c r="M9" s="33"/>
      <c r="N9" s="33">
        <f>C31*'E Balans VL '!Y19/100/3.6*1000000</f>
        <v>564.26449556661601</v>
      </c>
      <c r="O9" s="33"/>
      <c r="P9" s="33"/>
      <c r="R9" s="32"/>
    </row>
    <row r="10" spans="1:18">
      <c r="A10" s="6" t="s">
        <v>41</v>
      </c>
      <c r="B10" s="37">
        <f t="shared" si="0"/>
        <v>714.39609999999993</v>
      </c>
      <c r="C10" s="33"/>
      <c r="D10" s="37">
        <f>IF( ISERROR(IND_voed_gas_kWh/1000),0,IND_voed_gas_kWh/1000)*0.902</f>
        <v>432.09097403949323</v>
      </c>
      <c r="E10" s="33">
        <f>C32*'E Balans VL '!I20/100/3.6*1000000</f>
        <v>7.2828746764428294</v>
      </c>
      <c r="F10" s="33">
        <f>C32*'E Balans VL '!L20/100/3.6*1000000+C32*'E Balans VL '!N20/100/3.6*1000000</f>
        <v>1349.4897647837061</v>
      </c>
      <c r="G10" s="34"/>
      <c r="H10" s="33"/>
      <c r="I10" s="33"/>
      <c r="J10" s="40">
        <f>C32*'E Balans VL '!D20/100/3.6*1000000+C32*'E Balans VL '!E20/100/3.6*1000000</f>
        <v>17.097836187622057</v>
      </c>
      <c r="K10" s="33"/>
      <c r="L10" s="33"/>
      <c r="M10" s="33"/>
      <c r="N10" s="33">
        <f>C32*'E Balans VL '!Y20/100/3.6*1000000</f>
        <v>376.56903304023024</v>
      </c>
      <c r="O10" s="33"/>
      <c r="P10" s="33"/>
      <c r="R10" s="32"/>
    </row>
    <row r="11" spans="1:18">
      <c r="A11" s="6" t="s">
        <v>40</v>
      </c>
      <c r="B11" s="37">
        <f t="shared" si="0"/>
        <v>19.196490000000001</v>
      </c>
      <c r="C11" s="33"/>
      <c r="D11" s="37">
        <f>IF( ISERROR(IND_textiel_gas_kWh/1000),0,IND_textiel_gas_kWh/1000)*0.902</f>
        <v>0</v>
      </c>
      <c r="E11" s="33">
        <f>C33*'E Balans VL '!I21/100/3.6*1000000</f>
        <v>5.0880089758893403E-2</v>
      </c>
      <c r="F11" s="33">
        <f>C33*'E Balans VL '!L21/100/3.6*1000000+C33*'E Balans VL '!N21/100/3.6*1000000</f>
        <v>0.8573350460539797</v>
      </c>
      <c r="G11" s="34"/>
      <c r="H11" s="33"/>
      <c r="I11" s="33"/>
      <c r="J11" s="40">
        <f>C33*'E Balans VL '!D21/100/3.6*1000000+C33*'E Balans VL '!E21/100/3.6*1000000</f>
        <v>0</v>
      </c>
      <c r="K11" s="33"/>
      <c r="L11" s="33"/>
      <c r="M11" s="33"/>
      <c r="N11" s="33">
        <f>C33*'E Balans VL '!Y21/100/3.6*1000000</f>
        <v>0.18091319579057108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139.88039999999998</v>
      </c>
      <c r="C13" s="33"/>
      <c r="D13" s="37">
        <f>IF( ISERROR(IND_papier_gas_kWh/1000),0,IND_papier_gas_kWh/1000)*0.902</f>
        <v>193.47235923535635</v>
      </c>
      <c r="E13" s="33">
        <f>C35*'E Balans VL '!I23/100/3.6*1000000</f>
        <v>0.28970175009964777</v>
      </c>
      <c r="F13" s="33">
        <f>C35*'E Balans VL '!L23/100/3.6*1000000+C35*'E Balans VL '!N23/100/3.6*1000000</f>
        <v>2.7741282117429229</v>
      </c>
      <c r="G13" s="34"/>
      <c r="H13" s="33"/>
      <c r="I13" s="33"/>
      <c r="J13" s="40">
        <f>C35*'E Balans VL '!D23/100/3.6*1000000+C35*'E Balans VL '!E23/100/3.6*1000000</f>
        <v>0</v>
      </c>
      <c r="K13" s="33"/>
      <c r="L13" s="33"/>
      <c r="M13" s="33"/>
      <c r="N13" s="33">
        <f>C35*'E Balans VL '!Y23/100/3.6*1000000</f>
        <v>59.064200784129483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14092.825000000001</v>
      </c>
      <c r="C15" s="33"/>
      <c r="D15" s="37">
        <f>IF( ISERROR(IND_rest_gas_kWh/1000),0,IND_rest_gas_kWh/1000)*0.902</f>
        <v>9513.5964834138904</v>
      </c>
      <c r="E15" s="33">
        <f>C37*'E Balans VL '!I15/100/3.6*1000000</f>
        <v>716.94584134814943</v>
      </c>
      <c r="F15" s="33">
        <f>C37*'E Balans VL '!L15/100/3.6*1000000+C37*'E Balans VL '!N15/100/3.6*1000000</f>
        <v>3212.2850489789334</v>
      </c>
      <c r="G15" s="34"/>
      <c r="H15" s="33"/>
      <c r="I15" s="33"/>
      <c r="J15" s="40">
        <f>C37*'E Balans VL '!D15/100/3.6*1000000+C37*'E Balans VL '!E15/100/3.6*1000000</f>
        <v>59.124056592778828</v>
      </c>
      <c r="K15" s="33"/>
      <c r="L15" s="33"/>
      <c r="M15" s="33"/>
      <c r="N15" s="33">
        <f>C37*'E Balans VL '!Y15/100/3.6*1000000</f>
        <v>2647.8146444696836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18253.552889999999</v>
      </c>
      <c r="C18" s="21">
        <f>C5+C16</f>
        <v>0</v>
      </c>
      <c r="D18" s="21">
        <f>MAX((D5+D16),0)</f>
        <v>142630.77877938873</v>
      </c>
      <c r="E18" s="21">
        <f>MAX((E5+E16),0)</f>
        <v>1236.65263685745</v>
      </c>
      <c r="F18" s="21">
        <f>MAX((F5+F16),0)</f>
        <v>6350.2420471003052</v>
      </c>
      <c r="G18" s="21"/>
      <c r="H18" s="21"/>
      <c r="I18" s="21"/>
      <c r="J18" s="21">
        <f>MAX((J5+J16),0)</f>
        <v>76.221892780400879</v>
      </c>
      <c r="K18" s="21"/>
      <c r="L18" s="21">
        <f>MAX((L5+L16),0)</f>
        <v>0</v>
      </c>
      <c r="M18" s="21"/>
      <c r="N18" s="21">
        <f>MAX((N5+N16),0)</f>
        <v>3680.8411687342259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0.1757048365395778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3207.2375268039877</v>
      </c>
      <c r="C22" s="23">
        <f ca="1">C18*C20</f>
        <v>0</v>
      </c>
      <c r="D22" s="23">
        <f>D18*D20</f>
        <v>28811.417313436523</v>
      </c>
      <c r="E22" s="23">
        <f>E18*E20</f>
        <v>280.72014856664117</v>
      </c>
      <c r="F22" s="23">
        <f>F18*F20</f>
        <v>1695.5146265757817</v>
      </c>
      <c r="G22" s="23"/>
      <c r="H22" s="23"/>
      <c r="I22" s="23"/>
      <c r="J22" s="23">
        <f>J18*J20</f>
        <v>26.98255004426191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1311.4839999999999</v>
      </c>
      <c r="C30" s="39">
        <f>IF(ISERROR(B30*3.6/1000000/'E Balans VL '!Z18*100),0,B30*3.6/1000000/'E Balans VL '!Z18*100)</f>
        <v>0.1835640543128699</v>
      </c>
      <c r="D30" s="237" t="s">
        <v>692</v>
      </c>
    </row>
    <row r="31" spans="1:18">
      <c r="A31" s="6" t="s">
        <v>33</v>
      </c>
      <c r="B31" s="37">
        <f>IF( ISERROR(IND_ander_ele_kWh/1000),0,IND_ander_ele_kWh/1000)</f>
        <v>1743.029</v>
      </c>
      <c r="C31" s="39">
        <f>IF(ISERROR(B31*3.6/1000000/'E Balans VL '!Z19*100),0,B31*3.6/1000000/'E Balans VL '!Z19*100)</f>
        <v>7.6292096570523341E-2</v>
      </c>
      <c r="D31" s="237" t="s">
        <v>692</v>
      </c>
    </row>
    <row r="32" spans="1:18">
      <c r="A32" s="171" t="s">
        <v>41</v>
      </c>
      <c r="B32" s="37">
        <f>IF( ISERROR(IND_voed_ele_kWh/1000),0,IND_voed_ele_kWh/1000)</f>
        <v>714.39609999999993</v>
      </c>
      <c r="C32" s="39">
        <f>IF(ISERROR(B32*3.6/1000000/'E Balans VL '!Z20*100),0,B32*3.6/1000000/'E Balans VL '!Z20*100)</f>
        <v>0.17686075043571295</v>
      </c>
      <c r="D32" s="237" t="s">
        <v>692</v>
      </c>
    </row>
    <row r="33" spans="1:5">
      <c r="A33" s="171" t="s">
        <v>40</v>
      </c>
      <c r="B33" s="37">
        <f>IF( ISERROR(IND_textiel_ele_kWh/1000),0,IND_textiel_ele_kWh/1000)</f>
        <v>19.196490000000001</v>
      </c>
      <c r="C33" s="39">
        <f>IF(ISERROR(B33*3.6/1000000/'E Balans VL '!Z21*100),0,B33*3.6/1000000/'E Balans VL '!Z21*100)</f>
        <v>2.1631062737132735E-3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139.88039999999998</v>
      </c>
      <c r="C35" s="39">
        <f>IF(ISERROR(B35*3.6/1000000/'E Balans VL '!Z22*100),0,B35*3.6/1000000/'E Balans VL '!Z22*100)</f>
        <v>3.969235070638958E-3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14092.825000000001</v>
      </c>
      <c r="C37" s="39">
        <f>IF(ISERROR(B37*3.6/1000000/'E Balans VL '!Z15*100),0,B37*3.6/1000000/'E Balans VL '!Z15*100)</f>
        <v>0.10449588458125915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2315.6064999999999</v>
      </c>
      <c r="C5" s="17">
        <f>'Eigen informatie GS &amp; warmtenet'!B60</f>
        <v>0</v>
      </c>
      <c r="D5" s="30">
        <f>IF(ISERROR(SUM(LB_lb_gas_kWh,LB_rest_gas_kWh,onbekend_gas_kWh)/1000),0,SUM(LB_lb_gas_kWh,LB_rest_gas_kWh,onbekend_gas_kWh)/1000)*0.902</f>
        <v>2983.0525257161712</v>
      </c>
      <c r="E5" s="17">
        <f>B17*'E Balans VL '!I25/3.6*1000000/100</f>
        <v>21.448117268154068</v>
      </c>
      <c r="F5" s="17">
        <f>B17*('E Balans VL '!L25/3.6*1000000+'E Balans VL '!N25/3.6*1000000)/100</f>
        <v>5875.1348130855613</v>
      </c>
      <c r="G5" s="18"/>
      <c r="H5" s="17"/>
      <c r="I5" s="17"/>
      <c r="J5" s="17">
        <f>('E Balans VL '!D25+'E Balans VL '!E25)/3.6*1000000*landbouw!B17/100</f>
        <v>355.00831869396308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2315.6064999999999</v>
      </c>
      <c r="C8" s="21">
        <f>C5+C6</f>
        <v>0</v>
      </c>
      <c r="D8" s="21">
        <f>MAX((D5+D6),0)</f>
        <v>2983.0525257161712</v>
      </c>
      <c r="E8" s="21">
        <f>MAX((E5+E6),0)</f>
        <v>21.448117268154068</v>
      </c>
      <c r="F8" s="21">
        <f>MAX((F5+F6),0)</f>
        <v>5875.1348130855613</v>
      </c>
      <c r="G8" s="21"/>
      <c r="H8" s="21"/>
      <c r="I8" s="21"/>
      <c r="J8" s="21">
        <f>MAX((J5+J6),0)</f>
        <v>355.00831869396308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0.1757048365395778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406.86326157248385</v>
      </c>
      <c r="C12" s="23">
        <f ca="1">C8*C10</f>
        <v>0</v>
      </c>
      <c r="D12" s="23">
        <f>D8*D10</f>
        <v>602.57661019466661</v>
      </c>
      <c r="E12" s="23">
        <f>E8*E10</f>
        <v>4.8687226198709732</v>
      </c>
      <c r="F12" s="23">
        <f>F8*F10</f>
        <v>1568.660995093845</v>
      </c>
      <c r="G12" s="23"/>
      <c r="H12" s="23"/>
      <c r="I12" s="23"/>
      <c r="J12" s="23">
        <f>J8*J10</f>
        <v>125.67294481766292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0.32923014495542396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338.10438322816441</v>
      </c>
      <c r="C26" s="247">
        <f>B26*'GWP N2O_CH4'!B5</f>
        <v>7100.1920477914528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167.33833854900442</v>
      </c>
      <c r="C27" s="247">
        <f>B27*'GWP N2O_CH4'!B5</f>
        <v>3514.1051095290927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5.1877673816212662</v>
      </c>
      <c r="C28" s="247">
        <f>B28*'GWP N2O_CH4'!B4</f>
        <v>1608.2078883025924</v>
      </c>
      <c r="D28" s="50"/>
    </row>
    <row r="29" spans="1:4">
      <c r="A29" s="41" t="s">
        <v>277</v>
      </c>
      <c r="B29" s="247">
        <f>B34*'ha_N2O bodem landbouw'!B4</f>
        <v>28.292970268796999</v>
      </c>
      <c r="C29" s="247">
        <f>B29*'GWP N2O_CH4'!B4</f>
        <v>8770.8207833270699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6.3456147852527555E-3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4.9288336641976265E-5</v>
      </c>
      <c r="C5" s="464" t="s">
        <v>211</v>
      </c>
      <c r="D5" s="449">
        <f>SUM(D6:D11)</f>
        <v>1.5921954340624673E-4</v>
      </c>
      <c r="E5" s="449">
        <f>SUM(E6:E11)</f>
        <v>9.8451603791243638E-4</v>
      </c>
      <c r="F5" s="462" t="s">
        <v>211</v>
      </c>
      <c r="G5" s="449">
        <f>SUM(G6:G11)</f>
        <v>0.27671509030450825</v>
      </c>
      <c r="H5" s="449">
        <f>SUM(H6:H11)</f>
        <v>5.9425122329508889E-2</v>
      </c>
      <c r="I5" s="464" t="s">
        <v>211</v>
      </c>
      <c r="J5" s="464" t="s">
        <v>211</v>
      </c>
      <c r="K5" s="464" t="s">
        <v>211</v>
      </c>
      <c r="L5" s="464" t="s">
        <v>211</v>
      </c>
      <c r="M5" s="449">
        <f>SUM(M6:M11)</f>
        <v>1.7836045987852052E-2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2.386229190777663E-5</v>
      </c>
      <c r="C6" s="450"/>
      <c r="D6" s="963">
        <f>vkm_2011_GW_PW*SUMIFS(TableVerdeelsleutelVkm[CNG],TableVerdeelsleutelVkm[Voertuigtype],"Lichte voertuigen")*SUMIFS(TableECFTransport[EnergieConsumptieFactor (PJ per km)],TableECFTransport[Index],CONCATENATE($A6,"_CNG_CNG"))</f>
        <v>5.5196108312198367E-5</v>
      </c>
      <c r="E6" s="963">
        <f>vkm_2011_GW_PW*SUMIFS(TableVerdeelsleutelVkm[LPG],TableVerdeelsleutelVkm[Voertuigtype],"Lichte voertuigen")*SUMIFS(TableECFTransport[EnergieConsumptieFactor (PJ per km)],TableECFTransport[Index],CONCATENATE($A6,"_LPG_LPG"))</f>
        <v>3.5940372533287818E-4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7.466346497213816E-2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2.1046087809042411E-2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4.966829637548722E-3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4.6665141614874187E-2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1.5958630953837756E-5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2.6998429524469638E-3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2.5426044734199635E-5</v>
      </c>
      <c r="C8" s="450"/>
      <c r="D8" s="452">
        <f>vkm_2011_NGW_PW*SUMIFS(TableVerdeelsleutelVkm[CNG],TableVerdeelsleutelVkm[Voertuigtype],"Lichte voertuigen")*SUMIFS(TableECFTransport[EnergieConsumptieFactor (PJ per km)],TableECFTransport[Index],CONCATENATE($A8,"_CNG_CNG"))</f>
        <v>1.0402343509404836E-4</v>
      </c>
      <c r="E8" s="452">
        <f>vkm_2011_NGW_PW*SUMIFS(TableVerdeelsleutelVkm[LPG],TableVerdeelsleutelVkm[Voertuigtype],"Lichte voertuigen")*SUMIFS(TableECFTransport[EnergieConsumptieFactor (PJ per km)],TableECFTransport[Index],CONCATENATE($A8,"_LPG_LPG"))</f>
        <v>6.251123125795582E-4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0.12139589277262826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3.835207693022856E-2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8.2028442914493377E-3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3.3990590944867623E-2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1.0998959284081644E-5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1.9665291064070319E-3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13.691204622771185</v>
      </c>
      <c r="C14" s="21"/>
      <c r="D14" s="21">
        <f t="shared" ref="D14:M14" si="0">((D5)*10^9/3600)+D12</f>
        <v>44.227650946179644</v>
      </c>
      <c r="E14" s="21">
        <f t="shared" si="0"/>
        <v>273.47667719789899</v>
      </c>
      <c r="F14" s="21"/>
      <c r="G14" s="21">
        <f t="shared" si="0"/>
        <v>76865.302862363402</v>
      </c>
      <c r="H14" s="21">
        <f t="shared" si="0"/>
        <v>16506.978424863581</v>
      </c>
      <c r="I14" s="21"/>
      <c r="J14" s="21"/>
      <c r="K14" s="21"/>
      <c r="L14" s="21"/>
      <c r="M14" s="21">
        <f t="shared" si="0"/>
        <v>4954.4572188477923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0.1757048365395778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2.405610870273923</v>
      </c>
      <c r="C18" s="23"/>
      <c r="D18" s="23">
        <f t="shared" ref="D18:M18" si="1">D14*D16</f>
        <v>8.9339854911282881</v>
      </c>
      <c r="E18" s="23">
        <f t="shared" si="1"/>
        <v>62.079205723923074</v>
      </c>
      <c r="F18" s="23"/>
      <c r="G18" s="23">
        <f t="shared" si="1"/>
        <v>20523.035864251029</v>
      </c>
      <c r="H18" s="23">
        <f t="shared" si="1"/>
        <v>4110.2376277910316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3.9984643040755644E-3</v>
      </c>
      <c r="H50" s="321">
        <f t="shared" si="2"/>
        <v>0</v>
      </c>
      <c r="I50" s="321">
        <f t="shared" si="2"/>
        <v>0</v>
      </c>
      <c r="J50" s="321">
        <f t="shared" si="2"/>
        <v>0</v>
      </c>
      <c r="K50" s="321">
        <f t="shared" si="2"/>
        <v>0</v>
      </c>
      <c r="L50" s="321">
        <f t="shared" si="2"/>
        <v>0</v>
      </c>
      <c r="M50" s="321">
        <f t="shared" si="2"/>
        <v>2.2802076310832062E-4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3.9984643040755644E-3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2.2802076310832062E-4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1110.684528909879</v>
      </c>
      <c r="H54" s="21">
        <f t="shared" si="3"/>
        <v>0</v>
      </c>
      <c r="I54" s="21">
        <f t="shared" si="3"/>
        <v>0</v>
      </c>
      <c r="J54" s="21">
        <f t="shared" si="3"/>
        <v>0</v>
      </c>
      <c r="K54" s="21">
        <f t="shared" si="3"/>
        <v>0</v>
      </c>
      <c r="L54" s="21">
        <f t="shared" si="3"/>
        <v>0</v>
      </c>
      <c r="M54" s="21">
        <f t="shared" si="3"/>
        <v>63.339100863422395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0.1757048365395778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296.55276921893773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10774.434862004788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7849.2932536438511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18623.728115648639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24975.262499999997</v>
      </c>
      <c r="D10" s="719">
        <f ca="1">tertiair!C16</f>
        <v>0</v>
      </c>
      <c r="E10" s="719">
        <f ca="1">tertiair!D16</f>
        <v>18351.391284016729</v>
      </c>
      <c r="F10" s="719">
        <f>tertiair!E16</f>
        <v>202.75566788170096</v>
      </c>
      <c r="G10" s="719">
        <f ca="1">tertiair!F16</f>
        <v>3250.4996400475461</v>
      </c>
      <c r="H10" s="719">
        <f>tertiair!G16</f>
        <v>0</v>
      </c>
      <c r="I10" s="719">
        <f>tertiair!H16</f>
        <v>0</v>
      </c>
      <c r="J10" s="719">
        <f>tertiair!I16</f>
        <v>0</v>
      </c>
      <c r="K10" s="719">
        <f>tertiair!J16</f>
        <v>0</v>
      </c>
      <c r="L10" s="719">
        <f>tertiair!K16</f>
        <v>0</v>
      </c>
      <c r="M10" s="719">
        <f ca="1">tertiair!L16</f>
        <v>0</v>
      </c>
      <c r="N10" s="719">
        <f>tertiair!M16</f>
        <v>0</v>
      </c>
      <c r="O10" s="719">
        <f ca="1">tertiair!N16</f>
        <v>1483.0863184961709</v>
      </c>
      <c r="P10" s="719">
        <f>tertiair!O16</f>
        <v>7.8166666666666664</v>
      </c>
      <c r="Q10" s="720">
        <f>tertiair!P16</f>
        <v>19.066666666666666</v>
      </c>
      <c r="R10" s="722">
        <f ca="1">SUM(C10:Q10)</f>
        <v>48289.878743775473</v>
      </c>
      <c r="S10" s="67"/>
    </row>
    <row r="11" spans="1:19" s="475" customFormat="1">
      <c r="A11" s="871" t="s">
        <v>225</v>
      </c>
      <c r="B11" s="876"/>
      <c r="C11" s="719">
        <f>huishoudens!B8</f>
        <v>45309.070046347137</v>
      </c>
      <c r="D11" s="719">
        <f>huishoudens!C8</f>
        <v>0</v>
      </c>
      <c r="E11" s="719">
        <f>huishoudens!D8</f>
        <v>66180.366626967341</v>
      </c>
      <c r="F11" s="719">
        <f>huishoudens!E8</f>
        <v>2955.3448547739217</v>
      </c>
      <c r="G11" s="719">
        <f>huishoudens!F8</f>
        <v>51519.843445181905</v>
      </c>
      <c r="H11" s="719">
        <f>huishoudens!G8</f>
        <v>0</v>
      </c>
      <c r="I11" s="719">
        <f>huishoudens!H8</f>
        <v>0</v>
      </c>
      <c r="J11" s="719">
        <f>huishoudens!I8</f>
        <v>0</v>
      </c>
      <c r="K11" s="719">
        <f>huishoudens!J8</f>
        <v>1832.5770574960784</v>
      </c>
      <c r="L11" s="719">
        <f>huishoudens!K8</f>
        <v>0</v>
      </c>
      <c r="M11" s="719">
        <f>huishoudens!L8</f>
        <v>0</v>
      </c>
      <c r="N11" s="719">
        <f>huishoudens!M8</f>
        <v>0</v>
      </c>
      <c r="O11" s="719">
        <f>huishoudens!N8</f>
        <v>16060.143368933641</v>
      </c>
      <c r="P11" s="719">
        <f>huishoudens!O8</f>
        <v>393.96000000000004</v>
      </c>
      <c r="Q11" s="720">
        <f>huishoudens!P8</f>
        <v>953.33333333333326</v>
      </c>
      <c r="R11" s="722">
        <f>SUM(C11:Q11)</f>
        <v>185204.63873303338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18253.552889999999</v>
      </c>
      <c r="D13" s="719">
        <f>industrie!C18</f>
        <v>0</v>
      </c>
      <c r="E13" s="719">
        <f>industrie!D18</f>
        <v>142630.77877938873</v>
      </c>
      <c r="F13" s="719">
        <f>industrie!E18</f>
        <v>1236.65263685745</v>
      </c>
      <c r="G13" s="719">
        <f>industrie!F18</f>
        <v>6350.2420471003052</v>
      </c>
      <c r="H13" s="719">
        <f>industrie!G18</f>
        <v>0</v>
      </c>
      <c r="I13" s="719">
        <f>industrie!H18</f>
        <v>0</v>
      </c>
      <c r="J13" s="719">
        <f>industrie!I18</f>
        <v>0</v>
      </c>
      <c r="K13" s="719">
        <f>industrie!J18</f>
        <v>76.221892780400879</v>
      </c>
      <c r="L13" s="719">
        <f>industrie!K18</f>
        <v>0</v>
      </c>
      <c r="M13" s="719">
        <f>industrie!L18</f>
        <v>0</v>
      </c>
      <c r="N13" s="719">
        <f>industrie!M18</f>
        <v>0</v>
      </c>
      <c r="O13" s="719">
        <f>industrie!N18</f>
        <v>3680.8411687342259</v>
      </c>
      <c r="P13" s="719">
        <f>industrie!O18</f>
        <v>0</v>
      </c>
      <c r="Q13" s="720">
        <f>industrie!P18</f>
        <v>0</v>
      </c>
      <c r="R13" s="722">
        <f>SUM(C13:Q13)</f>
        <v>172228.28941486106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88537.885436347133</v>
      </c>
      <c r="D15" s="724">
        <f t="shared" ref="D15:Q15" ca="1" si="0">SUM(D9:D14)</f>
        <v>0</v>
      </c>
      <c r="E15" s="724">
        <f t="shared" ca="1" si="0"/>
        <v>227162.5366903728</v>
      </c>
      <c r="F15" s="724">
        <f t="shared" si="0"/>
        <v>4394.7531595130731</v>
      </c>
      <c r="G15" s="724">
        <f t="shared" ca="1" si="0"/>
        <v>61120.585132329754</v>
      </c>
      <c r="H15" s="724">
        <f t="shared" si="0"/>
        <v>0</v>
      </c>
      <c r="I15" s="724">
        <f t="shared" si="0"/>
        <v>0</v>
      </c>
      <c r="J15" s="724">
        <f t="shared" si="0"/>
        <v>0</v>
      </c>
      <c r="K15" s="724">
        <f t="shared" si="0"/>
        <v>1908.7989502764792</v>
      </c>
      <c r="L15" s="724">
        <f t="shared" si="0"/>
        <v>0</v>
      </c>
      <c r="M15" s="724">
        <f t="shared" ca="1" si="0"/>
        <v>0</v>
      </c>
      <c r="N15" s="724">
        <f t="shared" si="0"/>
        <v>0</v>
      </c>
      <c r="O15" s="724">
        <f t="shared" ca="1" si="0"/>
        <v>21224.070856164039</v>
      </c>
      <c r="P15" s="724">
        <f t="shared" si="0"/>
        <v>401.7766666666667</v>
      </c>
      <c r="Q15" s="725">
        <f t="shared" si="0"/>
        <v>972.4</v>
      </c>
      <c r="R15" s="726">
        <f ca="1">SUM(R9:R14)</f>
        <v>405722.80689166993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1110.684528909879</v>
      </c>
      <c r="I18" s="719">
        <f>transport!H54</f>
        <v>0</v>
      </c>
      <c r="J18" s="719">
        <f>transport!I54</f>
        <v>0</v>
      </c>
      <c r="K18" s="719">
        <f>transport!J54</f>
        <v>0</v>
      </c>
      <c r="L18" s="719">
        <f>transport!K54</f>
        <v>0</v>
      </c>
      <c r="M18" s="719">
        <f>transport!L54</f>
        <v>0</v>
      </c>
      <c r="N18" s="719">
        <f>transport!M54</f>
        <v>63.339100863422395</v>
      </c>
      <c r="O18" s="719">
        <f>transport!N54</f>
        <v>0</v>
      </c>
      <c r="P18" s="719">
        <f>transport!O54</f>
        <v>0</v>
      </c>
      <c r="Q18" s="720">
        <f>transport!P54</f>
        <v>0</v>
      </c>
      <c r="R18" s="722">
        <f>SUM(C18:Q18)</f>
        <v>1174.0236297733013</v>
      </c>
      <c r="S18" s="67"/>
    </row>
    <row r="19" spans="1:19" s="475" customFormat="1" ht="15" thickBot="1">
      <c r="A19" s="871" t="s">
        <v>307</v>
      </c>
      <c r="B19" s="876"/>
      <c r="C19" s="728">
        <f>transport!B14</f>
        <v>13.691204622771185</v>
      </c>
      <c r="D19" s="728">
        <f>transport!C14</f>
        <v>0</v>
      </c>
      <c r="E19" s="728">
        <f>transport!D14</f>
        <v>44.227650946179644</v>
      </c>
      <c r="F19" s="728">
        <f>transport!E14</f>
        <v>273.47667719789899</v>
      </c>
      <c r="G19" s="728">
        <f>transport!F14</f>
        <v>0</v>
      </c>
      <c r="H19" s="728">
        <f>transport!G14</f>
        <v>76865.302862363402</v>
      </c>
      <c r="I19" s="728">
        <f>transport!H14</f>
        <v>16506.978424863581</v>
      </c>
      <c r="J19" s="728">
        <f>transport!I14</f>
        <v>0</v>
      </c>
      <c r="K19" s="728">
        <f>transport!J14</f>
        <v>0</v>
      </c>
      <c r="L19" s="728">
        <f>transport!K14</f>
        <v>0</v>
      </c>
      <c r="M19" s="728">
        <f>transport!L14</f>
        <v>0</v>
      </c>
      <c r="N19" s="728">
        <f>transport!M14</f>
        <v>4954.4572188477923</v>
      </c>
      <c r="O19" s="728">
        <f>transport!N14</f>
        <v>0</v>
      </c>
      <c r="P19" s="728">
        <f>transport!O14</f>
        <v>0</v>
      </c>
      <c r="Q19" s="729">
        <f>transport!P14</f>
        <v>0</v>
      </c>
      <c r="R19" s="730">
        <f>SUM(C19:Q19)</f>
        <v>98658.134038841628</v>
      </c>
      <c r="S19" s="67"/>
    </row>
    <row r="20" spans="1:19" s="475" customFormat="1" ht="15.75" thickBot="1">
      <c r="A20" s="731" t="s">
        <v>230</v>
      </c>
      <c r="B20" s="879"/>
      <c r="C20" s="874">
        <f>SUM(C17:C19)</f>
        <v>13.691204622771185</v>
      </c>
      <c r="D20" s="732">
        <f t="shared" ref="D20:R20" si="1">SUM(D17:D19)</f>
        <v>0</v>
      </c>
      <c r="E20" s="732">
        <f t="shared" si="1"/>
        <v>44.227650946179644</v>
      </c>
      <c r="F20" s="732">
        <f t="shared" si="1"/>
        <v>273.47667719789899</v>
      </c>
      <c r="G20" s="732">
        <f t="shared" si="1"/>
        <v>0</v>
      </c>
      <c r="H20" s="732">
        <f t="shared" si="1"/>
        <v>77975.987391273287</v>
      </c>
      <c r="I20" s="732">
        <f t="shared" si="1"/>
        <v>16506.978424863581</v>
      </c>
      <c r="J20" s="732">
        <f t="shared" si="1"/>
        <v>0</v>
      </c>
      <c r="K20" s="732">
        <f t="shared" si="1"/>
        <v>0</v>
      </c>
      <c r="L20" s="732">
        <f t="shared" si="1"/>
        <v>0</v>
      </c>
      <c r="M20" s="732">
        <f t="shared" si="1"/>
        <v>0</v>
      </c>
      <c r="N20" s="732">
        <f t="shared" si="1"/>
        <v>5017.7963197112149</v>
      </c>
      <c r="O20" s="732">
        <f t="shared" si="1"/>
        <v>0</v>
      </c>
      <c r="P20" s="732">
        <f t="shared" si="1"/>
        <v>0</v>
      </c>
      <c r="Q20" s="733">
        <f t="shared" si="1"/>
        <v>0</v>
      </c>
      <c r="R20" s="734">
        <f t="shared" si="1"/>
        <v>99832.157668614935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2315.6064999999999</v>
      </c>
      <c r="D22" s="728">
        <f>+landbouw!C8</f>
        <v>0</v>
      </c>
      <c r="E22" s="728">
        <f>+landbouw!D8</f>
        <v>2983.0525257161712</v>
      </c>
      <c r="F22" s="728">
        <f>+landbouw!E8</f>
        <v>21.448117268154068</v>
      </c>
      <c r="G22" s="728">
        <f>+landbouw!F8</f>
        <v>5875.1348130855613</v>
      </c>
      <c r="H22" s="728">
        <f>+landbouw!G8</f>
        <v>0</v>
      </c>
      <c r="I22" s="728">
        <f>+landbouw!H8</f>
        <v>0</v>
      </c>
      <c r="J22" s="728">
        <f>+landbouw!I8</f>
        <v>0</v>
      </c>
      <c r="K22" s="728">
        <f>+landbouw!J8</f>
        <v>355.00831869396308</v>
      </c>
      <c r="L22" s="728">
        <f>+landbouw!K8</f>
        <v>0</v>
      </c>
      <c r="M22" s="728">
        <f>+landbouw!L8</f>
        <v>0</v>
      </c>
      <c r="N22" s="728">
        <f>+landbouw!M8</f>
        <v>0</v>
      </c>
      <c r="O22" s="728">
        <f>+landbouw!N8</f>
        <v>0</v>
      </c>
      <c r="P22" s="728">
        <f>+landbouw!O8</f>
        <v>0</v>
      </c>
      <c r="Q22" s="729">
        <f>+landbouw!P8</f>
        <v>0</v>
      </c>
      <c r="R22" s="730">
        <f>SUM(C22:Q22)</f>
        <v>11550.25027476385</v>
      </c>
      <c r="S22" s="67"/>
    </row>
    <row r="23" spans="1:19" s="475" customFormat="1" ht="17.25" thickTop="1" thickBot="1">
      <c r="A23" s="735" t="s">
        <v>116</v>
      </c>
      <c r="B23" s="865"/>
      <c r="C23" s="736">
        <f ca="1">C20+C15+C22</f>
        <v>90867.183140969893</v>
      </c>
      <c r="D23" s="736">
        <f t="shared" ref="D23:Q23" ca="1" si="2">D20+D15+D22</f>
        <v>0</v>
      </c>
      <c r="E23" s="736">
        <f t="shared" ca="1" si="2"/>
        <v>230189.81686703514</v>
      </c>
      <c r="F23" s="736">
        <f t="shared" si="2"/>
        <v>4689.6779539791269</v>
      </c>
      <c r="G23" s="736">
        <f t="shared" ca="1" si="2"/>
        <v>66995.719945415316</v>
      </c>
      <c r="H23" s="736">
        <f t="shared" si="2"/>
        <v>77975.987391273287</v>
      </c>
      <c r="I23" s="736">
        <f t="shared" si="2"/>
        <v>16506.978424863581</v>
      </c>
      <c r="J23" s="736">
        <f t="shared" si="2"/>
        <v>0</v>
      </c>
      <c r="K23" s="736">
        <f t="shared" si="2"/>
        <v>2263.8072689704422</v>
      </c>
      <c r="L23" s="736">
        <f t="shared" si="2"/>
        <v>0</v>
      </c>
      <c r="M23" s="736">
        <f t="shared" ca="1" si="2"/>
        <v>0</v>
      </c>
      <c r="N23" s="736">
        <f t="shared" si="2"/>
        <v>5017.7963197112149</v>
      </c>
      <c r="O23" s="736">
        <f t="shared" ca="1" si="2"/>
        <v>21224.070856164039</v>
      </c>
      <c r="P23" s="736">
        <f t="shared" si="2"/>
        <v>401.7766666666667</v>
      </c>
      <c r="Q23" s="737">
        <f t="shared" si="2"/>
        <v>972.4</v>
      </c>
      <c r="R23" s="738">
        <f ca="1">R20+R15+R22</f>
        <v>517105.21483504871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4388.2744150955468</v>
      </c>
      <c r="D36" s="719">
        <f ca="1">tertiair!C20</f>
        <v>0</v>
      </c>
      <c r="E36" s="719">
        <f ca="1">tertiair!D20</f>
        <v>3706.9810393713792</v>
      </c>
      <c r="F36" s="719">
        <f>tertiair!E20</f>
        <v>46.025536609146116</v>
      </c>
      <c r="G36" s="719">
        <f ca="1">tertiair!F20</f>
        <v>867.8834038926949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9009.1643949687659</v>
      </c>
    </row>
    <row r="37" spans="1:18">
      <c r="A37" s="886" t="s">
        <v>225</v>
      </c>
      <c r="B37" s="893"/>
      <c r="C37" s="719">
        <f ca="1">huishoudens!B12</f>
        <v>7961.0227462537041</v>
      </c>
      <c r="D37" s="719">
        <f ca="1">huishoudens!C12</f>
        <v>0</v>
      </c>
      <c r="E37" s="719">
        <f>huishoudens!D12</f>
        <v>13368.434058647405</v>
      </c>
      <c r="F37" s="719">
        <f>huishoudens!E12</f>
        <v>670.86328203368021</v>
      </c>
      <c r="G37" s="719">
        <f>huishoudens!F12</f>
        <v>13755.79819986357</v>
      </c>
      <c r="H37" s="719">
        <f>huishoudens!G12</f>
        <v>0</v>
      </c>
      <c r="I37" s="719">
        <f>huishoudens!H12</f>
        <v>0</v>
      </c>
      <c r="J37" s="719">
        <f>huishoudens!I12</f>
        <v>0</v>
      </c>
      <c r="K37" s="719">
        <f>huishoudens!J12</f>
        <v>648.73227835361172</v>
      </c>
      <c r="L37" s="719">
        <f>huishoudens!K12</f>
        <v>0</v>
      </c>
      <c r="M37" s="719">
        <f>huishoudens!L12</f>
        <v>0</v>
      </c>
      <c r="N37" s="719">
        <f>huishoudens!M12</f>
        <v>0</v>
      </c>
      <c r="O37" s="719">
        <f>huishoudens!N12</f>
        <v>0</v>
      </c>
      <c r="P37" s="719">
        <f>huishoudens!O12</f>
        <v>0</v>
      </c>
      <c r="Q37" s="829">
        <f>huishoudens!P12</f>
        <v>0</v>
      </c>
      <c r="R37" s="918">
        <f ca="1">SUM(C37:Q37)</f>
        <v>36404.850565151974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3207.2375268039877</v>
      </c>
      <c r="D39" s="719">
        <f ca="1">industrie!C22</f>
        <v>0</v>
      </c>
      <c r="E39" s="719">
        <f>industrie!D22</f>
        <v>28811.417313436523</v>
      </c>
      <c r="F39" s="719">
        <f>industrie!E22</f>
        <v>280.72014856664117</v>
      </c>
      <c r="G39" s="719">
        <f>industrie!F22</f>
        <v>1695.5146265757817</v>
      </c>
      <c r="H39" s="719">
        <f>industrie!G22</f>
        <v>0</v>
      </c>
      <c r="I39" s="719">
        <f>industrie!H22</f>
        <v>0</v>
      </c>
      <c r="J39" s="719">
        <f>industrie!I22</f>
        <v>0</v>
      </c>
      <c r="K39" s="719">
        <f>industrie!J22</f>
        <v>26.98255004426191</v>
      </c>
      <c r="L39" s="719">
        <f>industrie!K22</f>
        <v>0</v>
      </c>
      <c r="M39" s="719">
        <f>industrie!L22</f>
        <v>0</v>
      </c>
      <c r="N39" s="719">
        <f>industrie!M22</f>
        <v>0</v>
      </c>
      <c r="O39" s="719">
        <f>industrie!N22</f>
        <v>0</v>
      </c>
      <c r="P39" s="719">
        <f>industrie!O22</f>
        <v>0</v>
      </c>
      <c r="Q39" s="829">
        <f>industrie!P22</f>
        <v>0</v>
      </c>
      <c r="R39" s="919">
        <f ca="1">SUM(C39:Q39)</f>
        <v>34021.872165427194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15556.534688153239</v>
      </c>
      <c r="D41" s="764">
        <f t="shared" ref="D41:R41" ca="1" si="4">SUM(D35:D40)</f>
        <v>0</v>
      </c>
      <c r="E41" s="764">
        <f t="shared" ca="1" si="4"/>
        <v>45886.832411455311</v>
      </c>
      <c r="F41" s="764">
        <f t="shared" si="4"/>
        <v>997.60896720946744</v>
      </c>
      <c r="G41" s="764">
        <f t="shared" ca="1" si="4"/>
        <v>16319.196230332045</v>
      </c>
      <c r="H41" s="764">
        <f t="shared" si="4"/>
        <v>0</v>
      </c>
      <c r="I41" s="764">
        <f t="shared" si="4"/>
        <v>0</v>
      </c>
      <c r="J41" s="764">
        <f t="shared" si="4"/>
        <v>0</v>
      </c>
      <c r="K41" s="764">
        <f t="shared" si="4"/>
        <v>675.71482839787359</v>
      </c>
      <c r="L41" s="764">
        <f t="shared" si="4"/>
        <v>0</v>
      </c>
      <c r="M41" s="764">
        <f t="shared" ca="1" si="4"/>
        <v>0</v>
      </c>
      <c r="N41" s="764">
        <f t="shared" si="4"/>
        <v>0</v>
      </c>
      <c r="O41" s="764">
        <f t="shared" ca="1" si="4"/>
        <v>0</v>
      </c>
      <c r="P41" s="764">
        <f t="shared" si="4"/>
        <v>0</v>
      </c>
      <c r="Q41" s="765">
        <f t="shared" si="4"/>
        <v>0</v>
      </c>
      <c r="R41" s="766">
        <f t="shared" ca="1" si="4"/>
        <v>79435.887125547932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296.55276921893773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296.55276921893773</v>
      </c>
    </row>
    <row r="45" spans="1:18" ht="15" thickBot="1">
      <c r="A45" s="889" t="s">
        <v>307</v>
      </c>
      <c r="B45" s="899"/>
      <c r="C45" s="728">
        <f ca="1">transport!B18</f>
        <v>2.405610870273923</v>
      </c>
      <c r="D45" s="728">
        <f>transport!C18</f>
        <v>0</v>
      </c>
      <c r="E45" s="728">
        <f>transport!D18</f>
        <v>8.9339854911282881</v>
      </c>
      <c r="F45" s="728">
        <f>transport!E18</f>
        <v>62.079205723923074</v>
      </c>
      <c r="G45" s="728">
        <f>transport!F18</f>
        <v>0</v>
      </c>
      <c r="H45" s="728">
        <f>transport!G18</f>
        <v>20523.035864251029</v>
      </c>
      <c r="I45" s="728">
        <f>transport!H18</f>
        <v>4110.2376277910316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24706.692294127388</v>
      </c>
    </row>
    <row r="46" spans="1:18" ht="15.75" thickBot="1">
      <c r="A46" s="887" t="s">
        <v>230</v>
      </c>
      <c r="B46" s="900"/>
      <c r="C46" s="764">
        <f t="shared" ref="C46:R46" ca="1" si="5">SUM(C43:C45)</f>
        <v>2.405610870273923</v>
      </c>
      <c r="D46" s="764">
        <f t="shared" ca="1" si="5"/>
        <v>0</v>
      </c>
      <c r="E46" s="764">
        <f t="shared" si="5"/>
        <v>8.9339854911282881</v>
      </c>
      <c r="F46" s="764">
        <f t="shared" si="5"/>
        <v>62.079205723923074</v>
      </c>
      <c r="G46" s="764">
        <f t="shared" si="5"/>
        <v>0</v>
      </c>
      <c r="H46" s="764">
        <f t="shared" si="5"/>
        <v>20819.588633469968</v>
      </c>
      <c r="I46" s="764">
        <f t="shared" si="5"/>
        <v>4110.2376277910316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25003.245063346327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406.86326157248385</v>
      </c>
      <c r="D48" s="719">
        <f ca="1">+landbouw!C12</f>
        <v>0</v>
      </c>
      <c r="E48" s="719">
        <f>+landbouw!D12</f>
        <v>602.57661019466661</v>
      </c>
      <c r="F48" s="719">
        <f>+landbouw!E12</f>
        <v>4.8687226198709732</v>
      </c>
      <c r="G48" s="719">
        <f>+landbouw!F12</f>
        <v>1568.660995093845</v>
      </c>
      <c r="H48" s="719">
        <f>+landbouw!G12</f>
        <v>0</v>
      </c>
      <c r="I48" s="719">
        <f>+landbouw!H12</f>
        <v>0</v>
      </c>
      <c r="J48" s="719">
        <f>+landbouw!I12</f>
        <v>0</v>
      </c>
      <c r="K48" s="719">
        <f>+landbouw!J12</f>
        <v>125.67294481766292</v>
      </c>
      <c r="L48" s="719">
        <f>+landbouw!K12</f>
        <v>0</v>
      </c>
      <c r="M48" s="719">
        <f>+landbouw!L12</f>
        <v>0</v>
      </c>
      <c r="N48" s="719">
        <f>+landbouw!M12</f>
        <v>0</v>
      </c>
      <c r="O48" s="719">
        <f>+landbouw!N12</f>
        <v>0</v>
      </c>
      <c r="P48" s="719">
        <f>+landbouw!O12</f>
        <v>0</v>
      </c>
      <c r="Q48" s="720">
        <f>+landbouw!P12</f>
        <v>0</v>
      </c>
      <c r="R48" s="762">
        <f ca="1">SUM(C48:Q48)</f>
        <v>2708.6425342985294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15965.803560595996</v>
      </c>
      <c r="D53" s="774">
        <f t="shared" ref="D53:Q53" ca="1" si="6">D41+D46+D48</f>
        <v>0</v>
      </c>
      <c r="E53" s="774">
        <f t="shared" ca="1" si="6"/>
        <v>46498.343007141106</v>
      </c>
      <c r="F53" s="774">
        <f t="shared" si="6"/>
        <v>1064.5568955532615</v>
      </c>
      <c r="G53" s="774">
        <f t="shared" ca="1" si="6"/>
        <v>17887.857225425891</v>
      </c>
      <c r="H53" s="774">
        <f t="shared" si="6"/>
        <v>20819.588633469968</v>
      </c>
      <c r="I53" s="774">
        <f t="shared" si="6"/>
        <v>4110.2376277910316</v>
      </c>
      <c r="J53" s="774">
        <f t="shared" si="6"/>
        <v>0</v>
      </c>
      <c r="K53" s="774">
        <f t="shared" si="6"/>
        <v>801.38777321553653</v>
      </c>
      <c r="L53" s="774">
        <f t="shared" si="6"/>
        <v>0</v>
      </c>
      <c r="M53" s="774">
        <f t="shared" ca="1" si="6"/>
        <v>0</v>
      </c>
      <c r="N53" s="774">
        <f t="shared" si="6"/>
        <v>0</v>
      </c>
      <c r="O53" s="774">
        <f t="shared" ca="1" si="6"/>
        <v>0</v>
      </c>
      <c r="P53" s="774">
        <f>P41+P46+P48</f>
        <v>0</v>
      </c>
      <c r="Q53" s="775">
        <f t="shared" si="6"/>
        <v>0</v>
      </c>
      <c r="R53" s="776">
        <f ca="1">R41+R46+R48</f>
        <v>107147.77472319279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0.1757048365395778</v>
      </c>
      <c r="D55" s="837">
        <f t="shared" ca="1" si="7"/>
        <v>0</v>
      </c>
      <c r="E55" s="837">
        <f t="shared" ca="1" si="7"/>
        <v>0.20200000000000004</v>
      </c>
      <c r="F55" s="837">
        <f t="shared" si="7"/>
        <v>0.22699999999999992</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10774.434862004788</v>
      </c>
      <c r="C64" s="796">
        <f>'lokale energieproductie'!B4</f>
        <v>10774.434862004788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7849.2932536438511</v>
      </c>
      <c r="C66" s="796">
        <f>'lokale energieproductie'!B6</f>
        <v>7849.2932536438511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18623.728115648639</v>
      </c>
      <c r="C69" s="804">
        <f>SUM(C64:C68)</f>
        <v>18623.728115648639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45309.070046347137</v>
      </c>
      <c r="C4" s="479">
        <f>huishoudens!C8</f>
        <v>0</v>
      </c>
      <c r="D4" s="479">
        <f>huishoudens!D8</f>
        <v>66180.366626967341</v>
      </c>
      <c r="E4" s="479">
        <f>huishoudens!E8</f>
        <v>2955.3448547739217</v>
      </c>
      <c r="F4" s="479">
        <f>huishoudens!F8</f>
        <v>51519.843445181905</v>
      </c>
      <c r="G4" s="479">
        <f>huishoudens!G8</f>
        <v>0</v>
      </c>
      <c r="H4" s="479">
        <f>huishoudens!H8</f>
        <v>0</v>
      </c>
      <c r="I4" s="479">
        <f>huishoudens!I8</f>
        <v>0</v>
      </c>
      <c r="J4" s="479">
        <f>huishoudens!J8</f>
        <v>1832.5770574960784</v>
      </c>
      <c r="K4" s="479">
        <f>huishoudens!K8</f>
        <v>0</v>
      </c>
      <c r="L4" s="479">
        <f>huishoudens!L8</f>
        <v>0</v>
      </c>
      <c r="M4" s="479">
        <f>huishoudens!M8</f>
        <v>0</v>
      </c>
      <c r="N4" s="479">
        <f>huishoudens!N8</f>
        <v>16060.143368933641</v>
      </c>
      <c r="O4" s="479">
        <f>huishoudens!O8</f>
        <v>393.96000000000004</v>
      </c>
      <c r="P4" s="480">
        <f>huishoudens!P8</f>
        <v>953.33333333333326</v>
      </c>
      <c r="Q4" s="481">
        <f>SUM(B4:P4)</f>
        <v>185204.63873303338</v>
      </c>
    </row>
    <row r="5" spans="1:17">
      <c r="A5" s="478" t="s">
        <v>156</v>
      </c>
      <c r="B5" s="479">
        <f ca="1">tertiair!B16</f>
        <v>23030.374499999998</v>
      </c>
      <c r="C5" s="479">
        <f ca="1">tertiair!C16</f>
        <v>0</v>
      </c>
      <c r="D5" s="479">
        <f ca="1">tertiair!D16</f>
        <v>18351.391284016729</v>
      </c>
      <c r="E5" s="479">
        <f>tertiair!E16</f>
        <v>202.75566788170096</v>
      </c>
      <c r="F5" s="479">
        <f ca="1">tertiair!F16</f>
        <v>3250.4996400475461</v>
      </c>
      <c r="G5" s="479">
        <f>tertiair!G16</f>
        <v>0</v>
      </c>
      <c r="H5" s="479">
        <f>tertiair!H16</f>
        <v>0</v>
      </c>
      <c r="I5" s="479">
        <f>tertiair!I16</f>
        <v>0</v>
      </c>
      <c r="J5" s="479">
        <f>tertiair!J16</f>
        <v>0</v>
      </c>
      <c r="K5" s="479">
        <f>tertiair!K16</f>
        <v>0</v>
      </c>
      <c r="L5" s="479">
        <f ca="1">tertiair!L16</f>
        <v>0</v>
      </c>
      <c r="M5" s="479">
        <f>tertiair!M16</f>
        <v>0</v>
      </c>
      <c r="N5" s="479">
        <f ca="1">tertiair!N16</f>
        <v>1483.0863184961709</v>
      </c>
      <c r="O5" s="479">
        <f>tertiair!O16</f>
        <v>7.8166666666666664</v>
      </c>
      <c r="P5" s="480">
        <f>tertiair!P16</f>
        <v>19.066666666666666</v>
      </c>
      <c r="Q5" s="478">
        <f t="shared" ref="Q5:Q13" ca="1" si="0">SUM(B5:P5)</f>
        <v>46344.990743775466</v>
      </c>
    </row>
    <row r="6" spans="1:17">
      <c r="A6" s="478" t="s">
        <v>194</v>
      </c>
      <c r="B6" s="479">
        <f>'openbare verlichting'!B8</f>
        <v>1944.8879999999999</v>
      </c>
      <c r="C6" s="479"/>
      <c r="D6" s="479"/>
      <c r="E6" s="479"/>
      <c r="F6" s="479"/>
      <c r="G6" s="479"/>
      <c r="H6" s="479"/>
      <c r="I6" s="479"/>
      <c r="J6" s="479"/>
      <c r="K6" s="479"/>
      <c r="L6" s="479"/>
      <c r="M6" s="479"/>
      <c r="N6" s="479"/>
      <c r="O6" s="479"/>
      <c r="P6" s="480"/>
      <c r="Q6" s="478">
        <f t="shared" si="0"/>
        <v>1944.8879999999999</v>
      </c>
    </row>
    <row r="7" spans="1:17">
      <c r="A7" s="478" t="s">
        <v>112</v>
      </c>
      <c r="B7" s="479">
        <f>landbouw!B8</f>
        <v>2315.6064999999999</v>
      </c>
      <c r="C7" s="479">
        <f>landbouw!C8</f>
        <v>0</v>
      </c>
      <c r="D7" s="479">
        <f>landbouw!D8</f>
        <v>2983.0525257161712</v>
      </c>
      <c r="E7" s="479">
        <f>landbouw!E8</f>
        <v>21.448117268154068</v>
      </c>
      <c r="F7" s="479">
        <f>landbouw!F8</f>
        <v>5875.1348130855613</v>
      </c>
      <c r="G7" s="479">
        <f>landbouw!G8</f>
        <v>0</v>
      </c>
      <c r="H7" s="479">
        <f>landbouw!H8</f>
        <v>0</v>
      </c>
      <c r="I7" s="479">
        <f>landbouw!I8</f>
        <v>0</v>
      </c>
      <c r="J7" s="479">
        <f>landbouw!J8</f>
        <v>355.00831869396308</v>
      </c>
      <c r="K7" s="479">
        <f>landbouw!K8</f>
        <v>0</v>
      </c>
      <c r="L7" s="479">
        <f>landbouw!L8</f>
        <v>0</v>
      </c>
      <c r="M7" s="479">
        <f>landbouw!M8</f>
        <v>0</v>
      </c>
      <c r="N7" s="479">
        <f>landbouw!N8</f>
        <v>0</v>
      </c>
      <c r="O7" s="479">
        <f>landbouw!O8</f>
        <v>0</v>
      </c>
      <c r="P7" s="480">
        <f>landbouw!P8</f>
        <v>0</v>
      </c>
      <c r="Q7" s="478">
        <f t="shared" si="0"/>
        <v>11550.25027476385</v>
      </c>
    </row>
    <row r="8" spans="1:17">
      <c r="A8" s="478" t="s">
        <v>650</v>
      </c>
      <c r="B8" s="479">
        <f>industrie!B18</f>
        <v>18253.552889999999</v>
      </c>
      <c r="C8" s="479">
        <f>industrie!C18</f>
        <v>0</v>
      </c>
      <c r="D8" s="479">
        <f>industrie!D18</f>
        <v>142630.77877938873</v>
      </c>
      <c r="E8" s="479">
        <f>industrie!E18</f>
        <v>1236.65263685745</v>
      </c>
      <c r="F8" s="479">
        <f>industrie!F18</f>
        <v>6350.2420471003052</v>
      </c>
      <c r="G8" s="479">
        <f>industrie!G18</f>
        <v>0</v>
      </c>
      <c r="H8" s="479">
        <f>industrie!H18</f>
        <v>0</v>
      </c>
      <c r="I8" s="479">
        <f>industrie!I18</f>
        <v>0</v>
      </c>
      <c r="J8" s="479">
        <f>industrie!J18</f>
        <v>76.221892780400879</v>
      </c>
      <c r="K8" s="479">
        <f>industrie!K18</f>
        <v>0</v>
      </c>
      <c r="L8" s="479">
        <f>industrie!L18</f>
        <v>0</v>
      </c>
      <c r="M8" s="479">
        <f>industrie!M18</f>
        <v>0</v>
      </c>
      <c r="N8" s="479">
        <f>industrie!N18</f>
        <v>3680.8411687342259</v>
      </c>
      <c r="O8" s="479">
        <f>industrie!O18</f>
        <v>0</v>
      </c>
      <c r="P8" s="480">
        <f>industrie!P18</f>
        <v>0</v>
      </c>
      <c r="Q8" s="478">
        <f t="shared" si="0"/>
        <v>172228.28941486106</v>
      </c>
    </row>
    <row r="9" spans="1:17" s="484" customFormat="1">
      <c r="A9" s="482" t="s">
        <v>571</v>
      </c>
      <c r="B9" s="483">
        <f>transport!B14</f>
        <v>13.691204622771185</v>
      </c>
      <c r="C9" s="483">
        <f>transport!C14</f>
        <v>0</v>
      </c>
      <c r="D9" s="483">
        <f>transport!D14</f>
        <v>44.227650946179644</v>
      </c>
      <c r="E9" s="483">
        <f>transport!E14</f>
        <v>273.47667719789899</v>
      </c>
      <c r="F9" s="483">
        <f>transport!F14</f>
        <v>0</v>
      </c>
      <c r="G9" s="483">
        <f>transport!G14</f>
        <v>76865.302862363402</v>
      </c>
      <c r="H9" s="483">
        <f>transport!H14</f>
        <v>16506.978424863581</v>
      </c>
      <c r="I9" s="483">
        <f>transport!I14</f>
        <v>0</v>
      </c>
      <c r="J9" s="483">
        <f>transport!J14</f>
        <v>0</v>
      </c>
      <c r="K9" s="483">
        <f>transport!K14</f>
        <v>0</v>
      </c>
      <c r="L9" s="483">
        <f>transport!L14</f>
        <v>0</v>
      </c>
      <c r="M9" s="483">
        <f>transport!M14</f>
        <v>4954.4572188477923</v>
      </c>
      <c r="N9" s="483">
        <f>transport!N14</f>
        <v>0</v>
      </c>
      <c r="O9" s="483">
        <f>transport!O14</f>
        <v>0</v>
      </c>
      <c r="P9" s="483">
        <f>transport!P14</f>
        <v>0</v>
      </c>
      <c r="Q9" s="482">
        <f>SUM(B9:P9)</f>
        <v>98658.134038841628</v>
      </c>
    </row>
    <row r="10" spans="1:17">
      <c r="A10" s="478" t="s">
        <v>561</v>
      </c>
      <c r="B10" s="479">
        <f>transport!B54</f>
        <v>0</v>
      </c>
      <c r="C10" s="479">
        <f>transport!C54</f>
        <v>0</v>
      </c>
      <c r="D10" s="479">
        <f>transport!D54</f>
        <v>0</v>
      </c>
      <c r="E10" s="479">
        <f>transport!E54</f>
        <v>0</v>
      </c>
      <c r="F10" s="479">
        <f>transport!F54</f>
        <v>0</v>
      </c>
      <c r="G10" s="479">
        <f>transport!G54</f>
        <v>1110.684528909879</v>
      </c>
      <c r="H10" s="479">
        <f>transport!H54</f>
        <v>0</v>
      </c>
      <c r="I10" s="479">
        <f>transport!I54</f>
        <v>0</v>
      </c>
      <c r="J10" s="479">
        <f>transport!J54</f>
        <v>0</v>
      </c>
      <c r="K10" s="479">
        <f>transport!K54</f>
        <v>0</v>
      </c>
      <c r="L10" s="479">
        <f>transport!L54</f>
        <v>0</v>
      </c>
      <c r="M10" s="479">
        <f>transport!M54</f>
        <v>63.339100863422395</v>
      </c>
      <c r="N10" s="479">
        <f>transport!N54</f>
        <v>0</v>
      </c>
      <c r="O10" s="479">
        <f>transport!O54</f>
        <v>0</v>
      </c>
      <c r="P10" s="480">
        <f>transport!P54</f>
        <v>0</v>
      </c>
      <c r="Q10" s="478">
        <f t="shared" si="0"/>
        <v>1174.0236297733013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90867.183140969893</v>
      </c>
      <c r="C14" s="489">
        <f t="shared" ref="C14:Q14" ca="1" si="1">SUM(C4:C13)</f>
        <v>0</v>
      </c>
      <c r="D14" s="489">
        <f t="shared" ca="1" si="1"/>
        <v>230189.81686703514</v>
      </c>
      <c r="E14" s="489">
        <f t="shared" si="1"/>
        <v>4689.677953979126</v>
      </c>
      <c r="F14" s="489">
        <f t="shared" ca="1" si="1"/>
        <v>66995.719945415316</v>
      </c>
      <c r="G14" s="489">
        <f t="shared" si="1"/>
        <v>77975.987391273287</v>
      </c>
      <c r="H14" s="489">
        <f t="shared" si="1"/>
        <v>16506.978424863581</v>
      </c>
      <c r="I14" s="489">
        <f t="shared" si="1"/>
        <v>0</v>
      </c>
      <c r="J14" s="489">
        <f t="shared" si="1"/>
        <v>2263.8072689704427</v>
      </c>
      <c r="K14" s="489">
        <f t="shared" si="1"/>
        <v>0</v>
      </c>
      <c r="L14" s="489">
        <f t="shared" ca="1" si="1"/>
        <v>0</v>
      </c>
      <c r="M14" s="489">
        <f t="shared" si="1"/>
        <v>5017.7963197112149</v>
      </c>
      <c r="N14" s="489">
        <f t="shared" ca="1" si="1"/>
        <v>21224.070856164039</v>
      </c>
      <c r="O14" s="489">
        <f t="shared" si="1"/>
        <v>401.7766666666667</v>
      </c>
      <c r="P14" s="490">
        <f t="shared" si="1"/>
        <v>972.4</v>
      </c>
      <c r="Q14" s="490">
        <f t="shared" ca="1" si="1"/>
        <v>517105.21483504871</v>
      </c>
    </row>
    <row r="16" spans="1:17">
      <c r="A16" s="492" t="s">
        <v>566</v>
      </c>
      <c r="B16" s="842">
        <f ca="1">huishoudens!B10</f>
        <v>0.1757048365395778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7961.0227462537041</v>
      </c>
      <c r="C21" s="479">
        <f t="shared" ref="C21:C30" ca="1" si="3">C4*$C$16</f>
        <v>0</v>
      </c>
      <c r="D21" s="479">
        <f t="shared" ref="D21:D30" si="4">D4*$D$16</f>
        <v>13368.434058647405</v>
      </c>
      <c r="E21" s="479">
        <f t="shared" ref="E21:E30" si="5">E4*$E$16</f>
        <v>670.86328203368021</v>
      </c>
      <c r="F21" s="479">
        <f t="shared" ref="F21:F30" si="6">F4*$F$16</f>
        <v>13755.79819986357</v>
      </c>
      <c r="G21" s="479">
        <f t="shared" ref="G21:G30" si="7">G4*$G$16</f>
        <v>0</v>
      </c>
      <c r="H21" s="479">
        <f t="shared" ref="H21:H30" si="8">H4*$H$16</f>
        <v>0</v>
      </c>
      <c r="I21" s="479">
        <f t="shared" ref="I21:I30" si="9">I4*$I$16</f>
        <v>0</v>
      </c>
      <c r="J21" s="479">
        <f t="shared" ref="J21:J30" si="10">J4*$J$16</f>
        <v>648.73227835361172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36404.850565151974</v>
      </c>
    </row>
    <row r="22" spans="1:17">
      <c r="A22" s="478" t="s">
        <v>156</v>
      </c>
      <c r="B22" s="479">
        <f t="shared" ca="1" si="2"/>
        <v>4046.5481869677606</v>
      </c>
      <c r="C22" s="479">
        <f t="shared" ca="1" si="3"/>
        <v>0</v>
      </c>
      <c r="D22" s="479">
        <f t="shared" ca="1" si="4"/>
        <v>3706.9810393713792</v>
      </c>
      <c r="E22" s="479">
        <f t="shared" si="5"/>
        <v>46.025536609146116</v>
      </c>
      <c r="F22" s="479">
        <f t="shared" ca="1" si="6"/>
        <v>867.8834038926949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8667.4381668409806</v>
      </c>
    </row>
    <row r="23" spans="1:17">
      <c r="A23" s="478" t="s">
        <v>194</v>
      </c>
      <c r="B23" s="479">
        <f t="shared" ca="1" si="2"/>
        <v>341.72622812778638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341.72622812778638</v>
      </c>
    </row>
    <row r="24" spans="1:17">
      <c r="A24" s="478" t="s">
        <v>112</v>
      </c>
      <c r="B24" s="479">
        <f t="shared" ca="1" si="2"/>
        <v>406.86326157248385</v>
      </c>
      <c r="C24" s="479">
        <f t="shared" ca="1" si="3"/>
        <v>0</v>
      </c>
      <c r="D24" s="479">
        <f t="shared" si="4"/>
        <v>602.57661019466661</v>
      </c>
      <c r="E24" s="479">
        <f t="shared" si="5"/>
        <v>4.8687226198709732</v>
      </c>
      <c r="F24" s="479">
        <f t="shared" si="6"/>
        <v>1568.660995093845</v>
      </c>
      <c r="G24" s="479">
        <f t="shared" si="7"/>
        <v>0</v>
      </c>
      <c r="H24" s="479">
        <f t="shared" si="8"/>
        <v>0</v>
      </c>
      <c r="I24" s="479">
        <f t="shared" si="9"/>
        <v>0</v>
      </c>
      <c r="J24" s="479">
        <f t="shared" si="10"/>
        <v>125.67294481766292</v>
      </c>
      <c r="K24" s="479">
        <f t="shared" si="11"/>
        <v>0</v>
      </c>
      <c r="L24" s="479">
        <f t="shared" si="12"/>
        <v>0</v>
      </c>
      <c r="M24" s="479">
        <f t="shared" si="13"/>
        <v>0</v>
      </c>
      <c r="N24" s="479">
        <f t="shared" si="14"/>
        <v>0</v>
      </c>
      <c r="O24" s="479">
        <f t="shared" si="15"/>
        <v>0</v>
      </c>
      <c r="P24" s="480">
        <f t="shared" si="16"/>
        <v>0</v>
      </c>
      <c r="Q24" s="478">
        <f t="shared" ca="1" si="17"/>
        <v>2708.6425342985294</v>
      </c>
    </row>
    <row r="25" spans="1:17">
      <c r="A25" s="478" t="s">
        <v>650</v>
      </c>
      <c r="B25" s="479">
        <f t="shared" ca="1" si="2"/>
        <v>3207.2375268039877</v>
      </c>
      <c r="C25" s="479">
        <f t="shared" ca="1" si="3"/>
        <v>0</v>
      </c>
      <c r="D25" s="479">
        <f t="shared" si="4"/>
        <v>28811.417313436523</v>
      </c>
      <c r="E25" s="479">
        <f t="shared" si="5"/>
        <v>280.72014856664117</v>
      </c>
      <c r="F25" s="479">
        <f t="shared" si="6"/>
        <v>1695.5146265757817</v>
      </c>
      <c r="G25" s="479">
        <f t="shared" si="7"/>
        <v>0</v>
      </c>
      <c r="H25" s="479">
        <f t="shared" si="8"/>
        <v>0</v>
      </c>
      <c r="I25" s="479">
        <f t="shared" si="9"/>
        <v>0</v>
      </c>
      <c r="J25" s="479">
        <f t="shared" si="10"/>
        <v>26.98255004426191</v>
      </c>
      <c r="K25" s="479">
        <f t="shared" si="11"/>
        <v>0</v>
      </c>
      <c r="L25" s="479">
        <f t="shared" si="12"/>
        <v>0</v>
      </c>
      <c r="M25" s="479">
        <f t="shared" si="13"/>
        <v>0</v>
      </c>
      <c r="N25" s="479">
        <f t="shared" si="14"/>
        <v>0</v>
      </c>
      <c r="O25" s="479">
        <f t="shared" si="15"/>
        <v>0</v>
      </c>
      <c r="P25" s="480">
        <f t="shared" si="16"/>
        <v>0</v>
      </c>
      <c r="Q25" s="478">
        <f t="shared" ca="1" si="17"/>
        <v>34021.872165427194</v>
      </c>
    </row>
    <row r="26" spans="1:17" s="484" customFormat="1">
      <c r="A26" s="482" t="s">
        <v>571</v>
      </c>
      <c r="B26" s="836">
        <f t="shared" ca="1" si="2"/>
        <v>2.405610870273923</v>
      </c>
      <c r="C26" s="483">
        <f t="shared" ca="1" si="3"/>
        <v>0</v>
      </c>
      <c r="D26" s="483">
        <f t="shared" si="4"/>
        <v>8.9339854911282881</v>
      </c>
      <c r="E26" s="483">
        <f t="shared" si="5"/>
        <v>62.079205723923074</v>
      </c>
      <c r="F26" s="483">
        <f t="shared" si="6"/>
        <v>0</v>
      </c>
      <c r="G26" s="483">
        <f t="shared" si="7"/>
        <v>20523.035864251029</v>
      </c>
      <c r="H26" s="483">
        <f t="shared" si="8"/>
        <v>4110.2376277910316</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24706.692294127388</v>
      </c>
    </row>
    <row r="27" spans="1:17">
      <c r="A27" s="478" t="s">
        <v>561</v>
      </c>
      <c r="B27" s="479">
        <f t="shared" ca="1" si="2"/>
        <v>0</v>
      </c>
      <c r="C27" s="479">
        <f t="shared" ca="1" si="3"/>
        <v>0</v>
      </c>
      <c r="D27" s="479">
        <f t="shared" si="4"/>
        <v>0</v>
      </c>
      <c r="E27" s="479">
        <f t="shared" si="5"/>
        <v>0</v>
      </c>
      <c r="F27" s="479">
        <f t="shared" si="6"/>
        <v>0</v>
      </c>
      <c r="G27" s="479">
        <f t="shared" si="7"/>
        <v>296.55276921893773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296.55276921893773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15965.803560595998</v>
      </c>
      <c r="C31" s="489">
        <f t="shared" ca="1" si="18"/>
        <v>0</v>
      </c>
      <c r="D31" s="489">
        <f t="shared" ca="1" si="18"/>
        <v>46498.343007141106</v>
      </c>
      <c r="E31" s="489">
        <f t="shared" si="18"/>
        <v>1064.5568955532615</v>
      </c>
      <c r="F31" s="489">
        <f t="shared" ca="1" si="18"/>
        <v>17887.857225425891</v>
      </c>
      <c r="G31" s="489">
        <f t="shared" si="18"/>
        <v>20819.588633469968</v>
      </c>
      <c r="H31" s="489">
        <f t="shared" si="18"/>
        <v>4110.2376277910316</v>
      </c>
      <c r="I31" s="489">
        <f t="shared" si="18"/>
        <v>0</v>
      </c>
      <c r="J31" s="489">
        <f t="shared" si="18"/>
        <v>801.38777321553653</v>
      </c>
      <c r="K31" s="489">
        <f t="shared" si="18"/>
        <v>0</v>
      </c>
      <c r="L31" s="489">
        <f t="shared" ca="1" si="18"/>
        <v>0</v>
      </c>
      <c r="M31" s="489">
        <f t="shared" si="18"/>
        <v>0</v>
      </c>
      <c r="N31" s="489">
        <f t="shared" ca="1" si="18"/>
        <v>0</v>
      </c>
      <c r="O31" s="489">
        <f t="shared" si="18"/>
        <v>0</v>
      </c>
      <c r="P31" s="490">
        <f t="shared" si="18"/>
        <v>0</v>
      </c>
      <c r="Q31" s="490">
        <f t="shared" ca="1" si="18"/>
        <v>107147.77472319281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0.1757048365395778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0.1757048365395778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0.1757048365395778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2018-06-27T09:36:47Z</dcterms:modified>
</cp:coreProperties>
</file>