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6" i="17"/>
  <c r="D8" s="1"/>
  <c r="I8" i="18"/>
  <c r="J68" i="14" s="1"/>
  <c r="J15" i="16"/>
  <c r="L16"/>
  <c r="L18" s="1"/>
  <c r="L8" i="48" s="1"/>
  <c r="F16" i="16"/>
  <c r="D13" i="15"/>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J23" s="1"/>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O8" l="1"/>
  <c r="O25" s="1"/>
  <c r="G14" i="22"/>
  <c r="G9" i="48" s="1"/>
  <c r="P41" i="14"/>
  <c r="P53" s="1"/>
  <c r="P55" s="1"/>
  <c r="D8" i="48"/>
  <c r="D25" s="1"/>
  <c r="J16" i="15"/>
  <c r="J5" i="48" s="1"/>
  <c r="J22" s="1"/>
  <c r="E20" i="15"/>
  <c r="F36" i="14" s="1"/>
  <c r="E16" i="15"/>
  <c r="H14" i="22"/>
  <c r="I19" i="14" s="1"/>
  <c r="I20" s="1"/>
  <c r="I23" s="1"/>
  <c r="N12" i="17"/>
  <c r="O48" i="14" s="1"/>
  <c r="L7" i="48"/>
  <c r="L24" s="1"/>
  <c r="M22" i="14"/>
  <c r="R22" s="1"/>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O31" i="48" l="1"/>
  <c r="B22" i="6"/>
  <c r="C17" i="49" s="1"/>
  <c r="O14" i="48"/>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7" i="19"/>
  <c r="C19" s="1"/>
  <c r="D35" i="14" s="1"/>
  <c r="C56" i="22"/>
  <c r="C58" s="1"/>
  <c r="D44" i="14" s="1"/>
  <c r="D46" s="1"/>
  <c r="Q5" i="48"/>
  <c r="O13" i="14"/>
  <c r="O15" s="1"/>
  <c r="F22" i="16"/>
  <c r="G39" i="14" s="1"/>
  <c r="G41" s="1"/>
  <c r="N22" i="16"/>
  <c r="O39" i="14" s="1"/>
  <c r="O41" s="1"/>
  <c r="F8" i="48"/>
  <c r="Q4"/>
  <c r="N22"/>
  <c r="N31" s="1"/>
  <c r="N14"/>
  <c r="R11" i="14"/>
  <c r="J21" i="48"/>
  <c r="C18" i="15" l="1"/>
  <c r="C20" s="1"/>
  <c r="D36" i="14" s="1"/>
  <c r="C20" i="16"/>
  <c r="C22" s="1"/>
  <c r="D39" i="14" s="1"/>
  <c r="E14" i="48"/>
  <c r="C29" i="20"/>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C23" i="48"/>
  <c r="C24"/>
  <c r="C27"/>
  <c r="C28"/>
  <c r="C22"/>
  <c r="C25"/>
  <c r="C29"/>
  <c r="C21"/>
  <c r="C26"/>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<sst xmlns="http://schemas.openxmlformats.org/spreadsheetml/2006/main" count="1959" uniqueCount="841">
  <si>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</si>
  <si>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</si>
  <si>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</si>
  <si>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</si>
  <si>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</si>
  <si>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</si>
  <si>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</si>
  <si>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</si>
  <si>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</si>
  <si>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</si>
  <si>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</si>
  <si>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</si>
  <si>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</si>
  <si>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</si>
  <si>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</si>
  <si>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</si>
  <si>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</si>
  <si>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</si>
  <si>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</si>
  <si>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</si>
  <si>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</si>
  <si>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</si>
  <si>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</si>
  <si>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</si>
  <si>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</si>
  <si>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</si>
  <si>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</si>
  <si>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</si>
  <si>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</si>
  <si>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</si>
  <si>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</si>
  <si>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</si>
  <si>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</si>
  <si>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</si>
  <si>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</si>
  <si>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</si>
  <si>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</si>
  <si>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</si>
  <si>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</si>
  <si>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</si>
  <si>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</si>
  <si>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</si>
  <si>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</si>
  <si>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</si>
  <si>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</si>
  <si>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</si>
  <si>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</si>
  <si>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</si>
  <si>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</si>
  <si>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</si>
  <si>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</si>
  <si>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</si>
  <si>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</si>
  <si>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</si>
  <si>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</si>
  <si>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</si>
  <si>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</si>
  <si>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</si>
  <si>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</si>
  <si>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</si>
  <si>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</si>
  <si>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</si>
  <si>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</si>
  <si>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</si>
  <si>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</si>
  <si>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</si>
  <si>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</si>
  <si>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</si>
  <si>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</si>
  <si>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</si>
  <si>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</si>
  <si>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</si>
  <si>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</si>
  <si>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</si>
  <si>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</si>
  <si>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</si>
  <si>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</si>
  <si>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</si>
  <si>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</si>
  <si>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</si>
  <si>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</si>
  <si>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</si>
  <si>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</si>
  <si>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</si>
  <si>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</si>
  <si>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</si>
  <si>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</si>
  <si>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</si>
  <si>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</si>
  <si>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</si>
  <si>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</si>
  <si>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</si>
  <si>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</si>
  <si>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</si>
  <si>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</si>
  <si>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</si>
  <si>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</si>
  <si>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</si>
  <si>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</si>
  <si>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</si>
  <si>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</si>
  <si>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</si>
  <si>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</si>
  <si>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</si>
  <si>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</si>
  <si>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</si>
  <si>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</si>
  <si>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</si>
  <si>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</si>
  <si>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</si>
  <si>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</si>
  <si>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</si>
  <si>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</si>
  <si>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</si>
  <si>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</si>
  <si>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</si>
  <si>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</si>
  <si>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</si>
  <si>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</si>
  <si>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</si>
  <si>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</si>
  <si>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</si>
  <si>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</si>
  <si>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</si>
  <si>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</si>
  <si>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</si>
  <si>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</si>
  <si>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</si>
  <si>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</si>
  <si>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</si>
  <si>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</si>
  <si>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</si>
  <si>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</si>
  <si>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</si>
  <si>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</si>
  <si>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</si>
  <si>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</si>
  <si>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</si>
  <si>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</si>
  <si>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</si>
  <si>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</si>
  <si>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</si>
  <si>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</si>
  <si>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</si>
  <si>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</si>
  <si>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</si>
  <si>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</si>
  <si>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</si>
  <si>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</si>
  <si>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</si>
  <si>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</si>
  <si>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</si>
  <si>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</si>
  <si>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</si>
  <si>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</si>
  <si>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</si>
  <si>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</si>
  <si>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</si>
  <si>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</si>
  <si>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</si>
  <si>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</si>
  <si>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</si>
  <si>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</si>
  <si>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</si>
  <si>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</si>
  <si>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</si>
  <si>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</si>
  <si>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</si>
  <si>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</si>
  <si>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</si>
  <si>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</si>
  <si>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</si>
  <si>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</si>
  <si>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</si>
  <si>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</si>
  <si>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</si>
  <si>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</si>
  <si>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</si>
  <si>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</si>
  <si>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</si>
  <si>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</si>
  <si>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</si>
  <si>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</si>
  <si>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</si>
  <si>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</si>
  <si>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</si>
  <si>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</si>
  <si>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</si>
  <si>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</si>
  <si>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</si>
  <si>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</si>
  <si>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</si>
  <si>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</si>
  <si>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</si>
  <si>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</si>
  <si>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</si>
  <si>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</si>
  <si>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</si>
  <si>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</si>
  <si>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</si>
  <si>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</si>
  <si>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</si>
  <si>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</si>
  <si>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</si>
  <si>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</si>
  <si>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</si>
  <si>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</si>
  <si>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</si>
  <si>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</si>
  <si>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</si>
  <si>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</si>
  <si>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</si>
  <si>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</si>
  <si>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</si>
  <si>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</si>
  <si>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</si>
  <si>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</si>
  <si>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</si>
  <si>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</si>
  <si>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</si>
  <si>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</si>
  <si>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</si>
  <si>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</si>
  <si>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</si>
  <si>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</si>
  <si>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</si>
  <si>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</si>
  <si>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</si>
  <si>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</si>
  <si>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</si>
  <si>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</si>
  <si>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</si>
  <si>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</si>
  <si>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</si>
  <si>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</si>
  <si>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</si>
  <si>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</si>
  <si>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</si>
  <si>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</si>
  <si>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</si>
  <si>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</si>
  <si>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</si>
  <si>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</si>
  <si>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</si>
  <si>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</si>
  <si>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</si>
  <si>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</si>
  <si>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</si>
  <si>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</si>
  <si>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</si>
  <si>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</si>
  <si>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</si>
  <si>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</si>
  <si>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</si>
  <si>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</si>
  <si>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</si>
  <si>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</si>
  <si>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</si>
  <si>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</si>
  <si>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</si>
  <si>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</si>
  <si>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</si>
  <si>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</si>
  <si>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</si>
  <si>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</si>
  <si>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</si>
  <si>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</si>
  <si>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</si>
  <si>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</si>
  <si>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</si>
  <si>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</si>
  <si>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</si>
  <si>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</si>
  <si>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</si>
  <si>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</si>
  <si>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</si>
  <si>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</si>
  <si>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</si>
  <si>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</si>
  <si>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</si>
  <si>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</si>
  <si>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</si>
  <si>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</si>
  <si>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</si>
  <si>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</si>
  <si>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</si>
  <si>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</si>
  <si>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</si>
  <si>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</si>
  <si>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</si>
  <si>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</si>
  <si>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</si>
  <si>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</si>
  <si>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</si>
  <si>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</si>
  <si>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</si>
  <si>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</si>
  <si>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</si>
  <si>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</si>
  <si>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</si>
  <si>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</si>
  <si>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</si>
  <si>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</si>
  <si>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</si>
  <si>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</si>
  <si>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</si>
  <si>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</si>
  <si>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</si>
  <si>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</si>
  <si>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</si>
  <si>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</si>
  <si>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</si>
  <si>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</si>
  <si>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</si>
  <si>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</si>
  <si>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</si>
  <si>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</si>
  <si>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</si>
  <si>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</si>
  <si>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</si>
  <si>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</si>
  <si>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</si>
  <si>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</si>
  <si>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</si>
  <si>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</si>
  <si>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</si>
  <si>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</si>
  <si>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</si>
  <si>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</si>
  <si>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</si>
  <si>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</si>
  <si>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</si>
  <si>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</si>
  <si>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</si>
  <si>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</si>
  <si>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</si>
  <si>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</si>
  <si>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</si>
  <si>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</si>
  <si>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</si>
  <si>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</si>
  <si>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</si>
  <si>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</si>
  <si>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</si>
  <si>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</si>
  <si>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</si>
  <si>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</si>
  <si>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</si>
  <si>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</si>
  <si>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</si>
  <si>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</si>
  <si>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</si>
  <si>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</si>
  <si>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</si>
  <si>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</si>
  <si>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</si>
  <si>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</si>
  <si>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</si>
  <si>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</si>
  <si>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</si>
  <si>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</si>
  <si>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</si>
  <si>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</si>
  <si>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</si>
  <si>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</si>
  <si>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</si>
  <si>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</si>
  <si>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</si>
  <si>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</si>
  <si>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</si>
  <si>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</si>
  <si>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</si>
  <si>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</si>
  <si>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</si>
  <si>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</si>
  <si>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</si>
  <si>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</si>
  <si>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</si>
  <si>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</si>
  <si>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</si>
  <si>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</si>
  <si>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</si>
  <si>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</si>
  <si>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</si>
  <si>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</si>
  <si>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</si>
  <si>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</si>
  <si>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</si>
  <si>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</si>
  <si>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</si>
  <si>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</si>
  <si>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</si>
  <si>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</si>
  <si>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</si>
  <si>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</si>
  <si>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</si>
  <si>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</si>
  <si>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</si>
  <si>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</si>
  <si>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</si>
  <si>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</si>
  <si>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</si>
  <si>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</si>
  <si>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</si>
  <si>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</si>
  <si>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</si>
  <si>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</si>
  <si>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</si>
  <si>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</si>
  <si>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</si>
  <si>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</si>
  <si>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</si>
  <si>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</si>
  <si>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</si>
  <si>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</si>
  <si>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</si>
  <si>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</si>
  <si>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</si>
  <si>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</si>
  <si>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</si>
  <si>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</si>
  <si>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</si>
  <si>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</si>
  <si>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</si>
  <si>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</si>
  <si>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</si>
  <si>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</si>
  <si>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</si>
  <si>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</si>
  <si>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</si>
  <si>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</si>
  <si>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</si>
  <si>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</si>
  <si>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</si>
  <si>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</si>
  <si>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</si>
  <si>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</si>
  <si>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</si>
  <si>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</si>
  <si>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</si>
  <si>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</si>
  <si>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</si>
  <si>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</si>
  <si>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</si>
  <si>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</si>
  <si>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</si>
  <si>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</si>
  <si>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</si>
  <si>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</si>
  <si>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</si>
  <si>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</si>
  <si>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</si>
  <si>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</si>
  <si>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</si>
  <si>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</si>
  <si>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</si>
  <si>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</si>
  <si>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</si>
  <si>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</si>
  <si>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</si>
  <si>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</si>
  <si>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</si>
  <si>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</si>
  <si>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</si>
  <si>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</si>
  <si>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</si>
  <si>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</si>
  <si>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</si>
  <si>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</si>
  <si>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</si>
  <si>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</si>
  <si>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</si>
  <si>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</si>
  <si>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</si>
  <si>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</si>
  <si>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</si>
  <si>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</si>
  <si>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</si>
  <si>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</si>
  <si>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</si>
  <si>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</si>
  <si>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</si>
  <si>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</si>
  <si>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</si>
  <si>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</si>
  <si>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</si>
  <si>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</si>
  <si>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</si>
  <si>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</si>
  <si>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</si>
  <si>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</si>
  <si>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</si>
  <si>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</si>
  <si>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</si>
  <si>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</si>
  <si>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</si>
  <si>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</si>
  <si>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</si>
  <si>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</si>
  <si>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</si>
  <si>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</si>
  <si>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</si>
  <si>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</si>
  <si>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</si>
  <si>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</si>
  <si>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</si>
  <si>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</si>
  <si>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</si>
  <si>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</si>
  <si>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</si>
  <si>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</si>
  <si>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</si>
  <si>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</si>
  <si>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</si>
  <si>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</si>
  <si>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</si>
  <si>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</si>
  <si>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</si>
  <si>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</si>
  <si>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</si>
  <si>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</si>
  <si>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</si>
  <si>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</si>
  <si>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</si>
  <si>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</si>
  <si>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</si>
  <si>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</si>
  <si>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</si>
  <si>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</si>
  <si>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</si>
  <si>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</si>
  <si>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</si>
  <si>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</si>
  <si>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</si>
  <si>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</si>
  <si>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</si>
  <si>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</si>
  <si>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</si>
  <si>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</si>
  <si>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</si>
  <si>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</si>
  <si>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</si>
  <si>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</si>
  <si>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</si>
  <si>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</si>
  <si>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</si>
  <si>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</si>
  <si>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</si>
  <si>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</si>
  <si>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</si>
  <si>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</si>
  <si>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</si>
  <si>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</si>
  <si>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</si>
  <si>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</si>
  <si>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</si>
  <si>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</si>
  <si>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</si>
  <si>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</si>
  <si>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</si>
  <si>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</si>
  <si>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</si>
  <si>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</si>
  <si>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</si>
  <si>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</si>
  <si>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</si>
  <si>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</si>
  <si>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</si>
  <si>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</si>
  <si>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</si>
  <si>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</si>
  <si>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</si>
  <si>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</si>
  <si>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</si>
  <si>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</si>
  <si>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</si>
  <si>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</si>
  <si>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</si>
  <si>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</si>
  <si>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</si>
  <si>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</si>
  <si>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</si>
  <si>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</si>
  <si>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</si>
  <si>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</si>
  <si>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</si>
  <si>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</si>
  <si>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</si>
  <si>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</si>
  <si>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</si>
  <si>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</si>
  <si>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</si>
  <si>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</si>
  <si>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</si>
  <si>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</si>
  <si>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</si>
  <si>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</si>
  <si>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</si>
  <si>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</si>
  <si>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</si>
  <si>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</si>
  <si>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</si>
  <si>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</si>
  <si>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</si>
  <si>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</si>
  <si>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</si>
  <si>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</si>
  <si>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</si>
  <si>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</si>
  <si>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</si>
  <si>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</si>
  <si>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</si>
  <si>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</si>
  <si>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</si>
  <si>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</si>
  <si>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</si>
  <si>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</si>
  <si>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</si>
  <si>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</si>
  <si>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</si>
  <si>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</si>
  <si>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</si>
  <si>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</si>
  <si>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</si>
  <si>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</si>
  <si>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</si>
  <si>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</si>
  <si>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</si>
  <si>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</si>
  <si>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</si>
  <si>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</si>
  <si>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</si>
  <si>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</si>
  <si>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</si>
  <si>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</si>
  <si>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</si>
  <si>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</si>
  <si>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</si>
  <si>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</si>
  <si>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</si>
  <si>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</si>
  <si>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</si>
  <si>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</si>
  <si>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</si>
  <si>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</si>
  <si>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</si>
  <si>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</si>
  <si>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</si>
  <si>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</si>
  <si>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</si>
  <si>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</si>
  <si>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</si>
  <si>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</si>
  <si>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</si>
  <si>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</si>
  <si>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</si>
  <si>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</si>
  <si>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</si>
  <si>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</si>
  <si>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</si>
  <si>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</si>
  <si>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</si>
  <si>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</si>
  <si>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</si>
  <si>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</si>
  <si>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</si>
  <si>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</si>
  <si>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</si>
  <si>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</si>
  <si>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</si>
  <si>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</si>
  <si>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</si>
  <si>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</si>
  <si>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</si>
  <si>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</si>
  <si>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</si>
  <si>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</si>
  <si>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</si>
  <si>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</si>
  <si>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</si>
  <si>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</si>
  <si>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</si>
  <si>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</si>
  <si>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</si>
  <si>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</si>
  <si>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</si>
  <si>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</si>
  <si>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</si>
  <si>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</si>
  <si>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</si>
  <si>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</si>
  <si>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</si>
  <si>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</si>
  <si>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</si>
  <si>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</si>
  <si>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</si>
  <si>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</si>
  <si>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</si>
  <si>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</si>
  <si>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</si>
  <si>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</si>
  <si>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</si>
  <si>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</si>
  <si>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</si>
  <si>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</si>
  <si>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</si>
  <si>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</si>
  <si>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</si>
  <si>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</si>
  <si>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</si>
  <si>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</si>
  <si>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</si>
  <si>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</si>
  <si>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</si>
  <si>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</si>
  <si>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</si>
  <si>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</si>
  <si>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</si>
  <si>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</si>
  <si>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</si>
  <si>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</si>
  <si>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</si>
  <si>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</si>
  <si>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</si>
  <si>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</si>
  <si>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</si>
  <si>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</si>
  <si>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</si>
  <si>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</si>
  <si>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</si>
  <si>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</si>
  <si>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</si>
  <si>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</si>
  <si>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</si>
  <si>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</si>
  <si>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</si>
  <si>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</si>
  <si>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</si>
  <si>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</si>
  <si>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</si>
  <si>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</si>
  <si>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</si>
  <si>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</si>
  <si>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</si>
  <si>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</si>
  <si>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</si>
  <si>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</si>
  <si>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</si>
  <si>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</si>
  <si>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</si>
  <si>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</si>
  <si>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</si>
  <si>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</si>
  <si>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</si>
  <si>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</si>
  <si>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</si>
  <si>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</si>
  <si>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</si>
  <si>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</si>
  <si>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</si>
  <si>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</si>
  <si>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</si>
  <si>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</si>
  <si>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</si>
  <si>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</si>
  <si>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</si>
  <si>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</si>
  <si>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</si>
  <si>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</si>
  <si>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</si>
  <si>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</si>
  <si>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</si>
  <si>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</si>
  <si>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</si>
  <si>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</si>
  <si>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</si>
  <si>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</si>
  <si>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</si>
  <si>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</si>
  <si>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</si>
  <si>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</si>
  <si>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</si>
  <si>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</si>
  <si>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</si>
  <si>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</si>
  <si>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</si>
  <si>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</si>
  <si>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</si>
  <si>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</si>
  <si>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</si>
  <si>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</si>
  <si>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</si>
  <si>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</si>
  <si>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</si>
  <si>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</si>
  <si>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</si>
  <si>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</si>
  <si>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</si>
  <si>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</si>
  <si>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</si>
  <si>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</si>
  <si>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</si>
  <si>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</si>
  <si>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</si>
  <si>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</si>
  <si>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</si>
  <si>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</si>
  <si>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</si>
  <si>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</si>
  <si>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</si>
  <si>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</si>
  <si>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</si>
  <si>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</si>
  <si>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</si>
  <si>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</si>
  <si>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</si>
  <si>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</si>
  <si>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</si>
  <si>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</si>
  <si>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</si>
  <si>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</si>
  <si>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</si>
  <si>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</si>
  <si>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</si>
  <si>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</si>
  <si>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</si>
  <si>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34027</t>
  </si>
  <si>
    <t>MENEN</t>
  </si>
  <si>
    <t>Paarden&amp;pony's 200 - 600 kg</t>
  </si>
  <si>
    <t>Paarden&amp;pony's &lt; 200 kg</t>
  </si>
  <si>
    <t>referentietaak LNE (2017); Jaarverslag De Lijn (2014)</t>
  </si>
  <si>
    <t>op basis van VEA (maart 2018) en Inventaris Hernieuwbare Energiebronnen (juni 2018)</t>
  </si>
  <si>
    <t>VEA (maart 2016)</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</si>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</sst>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215480.92778624795</c:v>
                </c:pt>
                <c:pt idx="1">
                  <c:v>138715.71988831609</c:v>
                </c:pt>
                <c:pt idx="2">
                  <c:v>2688.8539999999998</c:v>
                </c:pt>
                <c:pt idx="3">
                  <c:v>8513.2738328342766</c:v>
                </c:pt>
                <c:pt idx="4">
                  <c:v>130764.41139462365</c:v>
                </c:pt>
                <c:pt idx="5">
                  <c:v>192333.11485818538</c:v>
                </c:pt>
                <c:pt idx="6">
                  <c:v>2283.0496935672404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215480.92778624795</c:v>
                </c:pt>
                <c:pt idx="1">
                  <c:v>138715.71988831609</c:v>
                </c:pt>
                <c:pt idx="2">
                  <c:v>2688.8539999999998</c:v>
                </c:pt>
                <c:pt idx="3">
                  <c:v>8513.2738328342766</c:v>
                </c:pt>
                <c:pt idx="4">
                  <c:v>130764.41139462365</c:v>
                </c:pt>
                <c:pt idx="5">
                  <c:v>192333.11485818538</c:v>
                </c:pt>
                <c:pt idx="6">
                  <c:v>2283.0496935672404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40107.271818595145</c:v>
                </c:pt>
                <c:pt idx="1">
                  <c:v>22618.305080939776</c:v>
                </c:pt>
                <c:pt idx="2">
                  <c:v>467.1730260127357</c:v>
                </c:pt>
                <c:pt idx="3">
                  <c:v>1893.9368658752082</c:v>
                </c:pt>
                <c:pt idx="4">
                  <c:v>24825.301336741599</c:v>
                </c:pt>
                <c:pt idx="5">
                  <c:v>48230.671951350523</c:v>
                </c:pt>
                <c:pt idx="6">
                  <c:v>576.6874632860214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83566720"/>
      </c:barChart>
      <c:catAx>
        <c:axId val="177216128"/>
        <c:scaling>
          <c:orientation val="minMax"/>
        </c:scaling>
        <c:axPos val="b"/>
        <c:numFmt formatCode="General" sourceLinked="0"/>
        <c:tickLblPos val="nextTo"/>
        <c:crossAx val="183566720"/>
        <c:crosses val="autoZero"/>
        <c:auto val="1"/>
        <c:lblAlgn val="ctr"/>
        <c:lblOffset val="100"/>
      </c:catAx>
      <c:valAx>
        <c:axId val="183566720"/>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40107.271818595145</c:v>
                </c:pt>
                <c:pt idx="1">
                  <c:v>22618.305080939776</c:v>
                </c:pt>
                <c:pt idx="2">
                  <c:v>467.1730260127357</c:v>
                </c:pt>
                <c:pt idx="3">
                  <c:v>1893.9368658752082</c:v>
                </c:pt>
                <c:pt idx="4">
                  <c:v>24825.301336741599</c:v>
                </c:pt>
                <c:pt idx="5">
                  <c:v>48230.671951350523</c:v>
                </c:pt>
                <c:pt idx="6">
                  <c:v>576.6874632860214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34027</v>
      </c>
      <c r="B6" s="416"/>
      <c r="C6" s="417"/>
    </row>
    <row r="7" spans="1:7" s="414" customFormat="1" ht="15.75" customHeight="1">
      <c r="A7" s="418" t="str">
        <f>txtMunicipality</f>
        <v>MENEN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14173</v>
      </c>
      <c r="C9" s="342">
        <v>14721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1465</v>
      </c>
    </row>
    <row r="15" spans="1:6">
      <c r="A15" s="348" t="s">
        <v>184</v>
      </c>
      <c r="B15" s="334">
        <v>24</v>
      </c>
    </row>
    <row r="16" spans="1:6">
      <c r="A16" s="348" t="s">
        <v>6</v>
      </c>
      <c r="B16" s="334">
        <v>449</v>
      </c>
    </row>
    <row r="17" spans="1:6">
      <c r="A17" s="348" t="s">
        <v>7</v>
      </c>
      <c r="B17" s="334">
        <v>348</v>
      </c>
    </row>
    <row r="18" spans="1:6">
      <c r="A18" s="348" t="s">
        <v>8</v>
      </c>
      <c r="B18" s="334">
        <v>418</v>
      </c>
    </row>
    <row r="19" spans="1:6">
      <c r="A19" s="348" t="s">
        <v>9</v>
      </c>
      <c r="B19" s="334">
        <v>395</v>
      </c>
    </row>
    <row r="20" spans="1:6">
      <c r="A20" s="348" t="s">
        <v>10</v>
      </c>
      <c r="B20" s="334">
        <v>430</v>
      </c>
    </row>
    <row r="21" spans="1:6">
      <c r="A21" s="348" t="s">
        <v>11</v>
      </c>
      <c r="B21" s="334">
        <v>2633</v>
      </c>
    </row>
    <row r="22" spans="1:6">
      <c r="A22" s="348" t="s">
        <v>12</v>
      </c>
      <c r="B22" s="334">
        <v>8307</v>
      </c>
    </row>
    <row r="23" spans="1:6">
      <c r="A23" s="348" t="s">
        <v>13</v>
      </c>
      <c r="B23" s="334">
        <v>129</v>
      </c>
    </row>
    <row r="24" spans="1:6">
      <c r="A24" s="348" t="s">
        <v>14</v>
      </c>
      <c r="B24" s="334">
        <v>5</v>
      </c>
    </row>
    <row r="25" spans="1:6">
      <c r="A25" s="348" t="s">
        <v>15</v>
      </c>
      <c r="B25" s="334">
        <v>686</v>
      </c>
    </row>
    <row r="26" spans="1:6">
      <c r="A26" s="348" t="s">
        <v>16</v>
      </c>
      <c r="B26" s="334">
        <v>213</v>
      </c>
    </row>
    <row r="27" spans="1:6">
      <c r="A27" s="348" t="s">
        <v>17</v>
      </c>
      <c r="B27" s="334">
        <v>0</v>
      </c>
    </row>
    <row r="28" spans="1:6" s="356" customFormat="1">
      <c r="A28" s="355" t="s">
        <v>18</v>
      </c>
      <c r="B28" s="355">
        <v>114591</v>
      </c>
    </row>
    <row r="29" spans="1:6">
      <c r="A29" s="355" t="s">
        <v>828</v>
      </c>
      <c r="B29" s="355">
        <v>109</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43059.967572046102</v>
      </c>
      <c r="E36" s="334">
        <v>9</v>
      </c>
      <c r="F36" s="334">
        <v>24078.63</v>
      </c>
    </row>
    <row r="37" spans="1:6">
      <c r="A37" s="348" t="s">
        <v>25</v>
      </c>
      <c r="B37" s="348" t="s">
        <v>28</v>
      </c>
      <c r="C37" s="334">
        <v>0</v>
      </c>
      <c r="D37" s="334">
        <v>0</v>
      </c>
      <c r="E37" s="334">
        <v>0</v>
      </c>
      <c r="F37" s="334">
        <v>0</v>
      </c>
    </row>
    <row r="38" spans="1:6">
      <c r="A38" s="348" t="s">
        <v>25</v>
      </c>
      <c r="B38" s="348" t="s">
        <v>29</v>
      </c>
      <c r="C38" s="334">
        <v>1</v>
      </c>
      <c r="D38" s="334">
        <v>197.62874959920001</v>
      </c>
      <c r="E38" s="334">
        <v>1</v>
      </c>
      <c r="F38" s="334">
        <v>4813.5110000000004</v>
      </c>
    </row>
    <row r="39" spans="1:6">
      <c r="A39" s="348" t="s">
        <v>30</v>
      </c>
      <c r="B39" s="348" t="s">
        <v>31</v>
      </c>
      <c r="C39" s="334">
        <v>12189</v>
      </c>
      <c r="D39" s="334">
        <v>154106532.80666101</v>
      </c>
      <c r="E39" s="334">
        <v>14159</v>
      </c>
      <c r="F39" s="334">
        <v>45851589</v>
      </c>
    </row>
    <row r="40" spans="1:6">
      <c r="A40" s="348" t="s">
        <v>30</v>
      </c>
      <c r="B40" s="348" t="s">
        <v>29</v>
      </c>
      <c r="C40" s="334">
        <v>0</v>
      </c>
      <c r="D40" s="334">
        <v>0</v>
      </c>
      <c r="E40" s="334">
        <v>0</v>
      </c>
      <c r="F40" s="334">
        <v>0</v>
      </c>
    </row>
    <row r="41" spans="1:6">
      <c r="A41" s="348" t="s">
        <v>32</v>
      </c>
      <c r="B41" s="348" t="s">
        <v>33</v>
      </c>
      <c r="C41" s="334">
        <v>140</v>
      </c>
      <c r="D41" s="334">
        <v>3321091.7163429698</v>
      </c>
      <c r="E41" s="334">
        <v>262</v>
      </c>
      <c r="F41" s="334">
        <v>11859069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322311.54565041099</v>
      </c>
      <c r="E44" s="334">
        <v>32</v>
      </c>
      <c r="F44" s="334">
        <v>491149.9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64070.104822216701</v>
      </c>
      <c r="E47" s="334">
        <v>3</v>
      </c>
      <c r="F47" s="334">
        <v>21743.27</v>
      </c>
    </row>
    <row r="48" spans="1:6">
      <c r="A48" s="348" t="s">
        <v>32</v>
      </c>
      <c r="B48" s="348" t="s">
        <v>29</v>
      </c>
      <c r="C48" s="334">
        <v>47</v>
      </c>
      <c r="D48" s="334">
        <v>49155600.760018498</v>
      </c>
      <c r="E48" s="334">
        <v>63</v>
      </c>
      <c r="F48" s="334">
        <v>21902883</v>
      </c>
    </row>
    <row r="49" spans="1:6">
      <c r="A49" s="348" t="s">
        <v>32</v>
      </c>
      <c r="B49" s="348" t="s">
        <v>40</v>
      </c>
      <c r="C49" s="334">
        <v>4</v>
      </c>
      <c r="D49" s="334">
        <v>355449.87306438602</v>
      </c>
      <c r="E49" s="334">
        <v>13</v>
      </c>
      <c r="F49" s="334">
        <v>1387482</v>
      </c>
    </row>
    <row r="50" spans="1:6">
      <c r="A50" s="348" t="s">
        <v>32</v>
      </c>
      <c r="B50" s="348" t="s">
        <v>41</v>
      </c>
      <c r="C50" s="334">
        <v>57</v>
      </c>
      <c r="D50" s="334">
        <v>4416382.5971294697</v>
      </c>
      <c r="E50" s="334">
        <v>120</v>
      </c>
      <c r="F50" s="334">
        <v>4662797</v>
      </c>
    </row>
    <row r="51" spans="1:6">
      <c r="A51" s="348" t="s">
        <v>42</v>
      </c>
      <c r="B51" s="348" t="s">
        <v>43</v>
      </c>
      <c r="C51" s="334">
        <v>8</v>
      </c>
      <c r="D51" s="334">
        <v>153179.692002019</v>
      </c>
      <c r="E51" s="334">
        <v>71</v>
      </c>
      <c r="F51" s="334">
        <v>904481.3</v>
      </c>
    </row>
    <row r="52" spans="1:6">
      <c r="A52" s="348" t="s">
        <v>42</v>
      </c>
      <c r="B52" s="348" t="s">
        <v>29</v>
      </c>
      <c r="C52" s="334">
        <v>8</v>
      </c>
      <c r="D52" s="334">
        <v>190496.16749535399</v>
      </c>
      <c r="E52" s="334">
        <v>7</v>
      </c>
      <c r="F52" s="334">
        <v>183279.8</v>
      </c>
    </row>
    <row r="53" spans="1:6">
      <c r="A53" s="348" t="s">
        <v>44</v>
      </c>
      <c r="B53" s="348" t="s">
        <v>45</v>
      </c>
      <c r="C53" s="334">
        <v>335</v>
      </c>
      <c r="D53" s="334">
        <v>4632836.7667483501</v>
      </c>
      <c r="E53" s="334">
        <v>509</v>
      </c>
      <c r="F53" s="334">
        <v>1695049</v>
      </c>
    </row>
    <row r="54" spans="1:6">
      <c r="A54" s="348" t="s">
        <v>46</v>
      </c>
      <c r="B54" s="348" t="s">
        <v>47</v>
      </c>
      <c r="C54" s="334">
        <v>0</v>
      </c>
      <c r="D54" s="334">
        <v>0</v>
      </c>
      <c r="E54" s="334">
        <v>1</v>
      </c>
      <c r="F54" s="334">
        <v>2688854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120</v>
      </c>
      <c r="D57" s="334">
        <v>3705860.3641060102</v>
      </c>
      <c r="E57" s="334">
        <v>193</v>
      </c>
      <c r="F57" s="334">
        <v>4989993</v>
      </c>
    </row>
    <row r="58" spans="1:6">
      <c r="A58" s="348" t="s">
        <v>49</v>
      </c>
      <c r="B58" s="348" t="s">
        <v>51</v>
      </c>
      <c r="C58" s="334">
        <v>133</v>
      </c>
      <c r="D58" s="334">
        <v>12997902.596034801</v>
      </c>
      <c r="E58" s="334">
        <v>150</v>
      </c>
      <c r="F58" s="334">
        <v>6678740</v>
      </c>
    </row>
    <row r="59" spans="1:6">
      <c r="A59" s="348" t="s">
        <v>49</v>
      </c>
      <c r="B59" s="348" t="s">
        <v>52</v>
      </c>
      <c r="C59" s="334">
        <v>356</v>
      </c>
      <c r="D59" s="334">
        <v>12077562.5344145</v>
      </c>
      <c r="E59" s="334">
        <v>585</v>
      </c>
      <c r="F59" s="334">
        <v>17951075</v>
      </c>
    </row>
    <row r="60" spans="1:6">
      <c r="A60" s="348" t="s">
        <v>49</v>
      </c>
      <c r="B60" s="348" t="s">
        <v>53</v>
      </c>
      <c r="C60" s="334">
        <v>137</v>
      </c>
      <c r="D60" s="334">
        <v>4161227.5792438202</v>
      </c>
      <c r="E60" s="334">
        <v>173</v>
      </c>
      <c r="F60" s="334">
        <v>3212371</v>
      </c>
    </row>
    <row r="61" spans="1:6">
      <c r="A61" s="348" t="s">
        <v>49</v>
      </c>
      <c r="B61" s="348" t="s">
        <v>54</v>
      </c>
      <c r="C61" s="334">
        <v>268</v>
      </c>
      <c r="D61" s="334">
        <v>11027827.8159541</v>
      </c>
      <c r="E61" s="334">
        <v>468</v>
      </c>
      <c r="F61" s="334">
        <v>12765740</v>
      </c>
    </row>
    <row r="62" spans="1:6">
      <c r="A62" s="348" t="s">
        <v>49</v>
      </c>
      <c r="B62" s="348" t="s">
        <v>55</v>
      </c>
      <c r="C62" s="334">
        <v>26</v>
      </c>
      <c r="D62" s="334">
        <v>3159026.63418588</v>
      </c>
      <c r="E62" s="334">
        <v>30</v>
      </c>
      <c r="F62" s="334">
        <v>1080781</v>
      </c>
    </row>
    <row r="63" spans="1:6">
      <c r="A63" s="348" t="s">
        <v>49</v>
      </c>
      <c r="B63" s="348" t="s">
        <v>29</v>
      </c>
      <c r="C63" s="334">
        <v>111</v>
      </c>
      <c r="D63" s="334">
        <v>5444352.0424668603</v>
      </c>
      <c r="E63" s="334">
        <v>74</v>
      </c>
      <c r="F63" s="334">
        <v>2843393</v>
      </c>
    </row>
    <row r="64" spans="1:6">
      <c r="A64" s="348" t="s">
        <v>56</v>
      </c>
      <c r="B64" s="348" t="s">
        <v>57</v>
      </c>
      <c r="C64" s="334">
        <v>0</v>
      </c>
      <c r="D64" s="334">
        <v>0</v>
      </c>
      <c r="E64" s="334">
        <v>0</v>
      </c>
      <c r="F64" s="334">
        <v>0</v>
      </c>
    </row>
    <row r="65" spans="1:6">
      <c r="A65" s="348" t="s">
        <v>56</v>
      </c>
      <c r="B65" s="348" t="s">
        <v>29</v>
      </c>
      <c r="C65" s="334">
        <v>1</v>
      </c>
      <c r="D65" s="334">
        <v>84533.701950103306</v>
      </c>
      <c r="E65" s="334">
        <v>3</v>
      </c>
      <c r="F65" s="334">
        <v>24971.58</v>
      </c>
    </row>
    <row r="66" spans="1:6">
      <c r="A66" s="348" t="s">
        <v>56</v>
      </c>
      <c r="B66" s="348" t="s">
        <v>58</v>
      </c>
      <c r="C66" s="334">
        <v>0</v>
      </c>
      <c r="D66" s="334">
        <v>0</v>
      </c>
      <c r="E66" s="334">
        <v>16</v>
      </c>
      <c r="F66" s="334">
        <v>740986.3</v>
      </c>
    </row>
    <row r="67" spans="1:6">
      <c r="A67" s="355" t="s">
        <v>56</v>
      </c>
      <c r="B67" s="355" t="s">
        <v>59</v>
      </c>
      <c r="C67" s="334">
        <v>0</v>
      </c>
      <c r="D67" s="334">
        <v>0</v>
      </c>
      <c r="E67" s="334">
        <v>0</v>
      </c>
      <c r="F67" s="334">
        <v>0</v>
      </c>
    </row>
    <row r="68" spans="1:6">
      <c r="A68" s="341" t="s">
        <v>56</v>
      </c>
      <c r="B68" s="341" t="s">
        <v>60</v>
      </c>
      <c r="C68" s="334">
        <v>15</v>
      </c>
      <c r="D68" s="334">
        <v>562510.83911311801</v>
      </c>
      <c r="E68" s="334">
        <v>38</v>
      </c>
      <c r="F68" s="334">
        <v>1245490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85208054</v>
      </c>
      <c r="E73" s="477">
        <v>93354821.22715503</v>
      </c>
    </row>
    <row r="74" spans="1:6">
      <c r="A74" s="348" t="s">
        <v>64</v>
      </c>
      <c r="B74" s="348" t="s">
        <v>714</v>
      </c>
      <c r="C74" s="1229" t="s">
        <v>716</v>
      </c>
      <c r="D74" s="477">
        <v>6502773.3075502105</v>
      </c>
      <c r="E74" s="477">
        <v>7122219.0609698892</v>
      </c>
    </row>
    <row r="75" spans="1:6">
      <c r="A75" s="348" t="s">
        <v>65</v>
      </c>
      <c r="B75" s="348" t="s">
        <v>713</v>
      </c>
      <c r="C75" s="1229" t="s">
        <v>717</v>
      </c>
      <c r="D75" s="477">
        <v>27377036</v>
      </c>
      <c r="E75" s="477">
        <v>30080283.85625685</v>
      </c>
    </row>
    <row r="76" spans="1:6">
      <c r="A76" s="348" t="s">
        <v>65</v>
      </c>
      <c r="B76" s="348" t="s">
        <v>714</v>
      </c>
      <c r="C76" s="1229" t="s">
        <v>718</v>
      </c>
      <c r="D76" s="477">
        <v>975437.30755021004</v>
      </c>
      <c r="E76" s="477">
        <v>1089101.6705230277</v>
      </c>
    </row>
    <row r="77" spans="1:6">
      <c r="A77" s="348" t="s">
        <v>66</v>
      </c>
      <c r="B77" s="348" t="s">
        <v>713</v>
      </c>
      <c r="C77" s="1229" t="s">
        <v>719</v>
      </c>
      <c r="D77" s="477">
        <v>79890401</v>
      </c>
      <c r="E77" s="477">
        <v>84638890.109517947</v>
      </c>
    </row>
    <row r="78" spans="1:6">
      <c r="A78" s="341" t="s">
        <v>66</v>
      </c>
      <c r="B78" s="341" t="s">
        <v>714</v>
      </c>
      <c r="C78" s="341" t="s">
        <v>720</v>
      </c>
      <c r="D78" s="1225">
        <v>16393423</v>
      </c>
      <c r="E78" s="1225">
        <v>17284873.574308287</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610085.3848995798</v>
      </c>
      <c r="C83" s="477">
        <v>615293.36382031394</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8058.9268886539867</v>
      </c>
    </row>
    <row r="91" spans="1:6">
      <c r="A91" s="348" t="s">
        <v>68</v>
      </c>
      <c r="B91" s="334">
        <v>4228.0700807653184</v>
      </c>
    </row>
    <row r="92" spans="1:6">
      <c r="A92" s="341" t="s">
        <v>69</v>
      </c>
      <c r="B92" s="342">
        <v>7365.9679768037513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3</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157823.87079453145</v>
      </c>
      <c r="C3" s="43" t="s">
        <v>170</v>
      </c>
      <c r="D3" s="43"/>
      <c r="E3" s="154"/>
      <c r="F3" s="43"/>
      <c r="G3" s="43"/>
      <c r="H3" s="43"/>
      <c r="I3" s="43"/>
      <c r="J3" s="43"/>
      <c r="K3" s="96"/>
    </row>
    <row r="4" spans="1:11">
      <c r="A4" s="384" t="s">
        <v>171</v>
      </c>
      <c r="B4" s="49">
        <f>IF(ISERROR('SEAP template'!B69),0,'SEAP template'!B69)</f>
        <v>33746.964946223059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0.17374428883559156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20134.285714285714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2688.8539999999998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2688.8539999999998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0.17374428883559156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467.1730260127357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45851.589</v>
      </c>
      <c r="C5" s="17">
        <f>IF(ISERROR('Eigen informatie GS &amp; warmtenet'!B57),0,'Eigen informatie GS &amp; warmtenet'!B57)</f>
        <v>0</v>
      </c>
      <c r="D5" s="30">
        <f>(SUM(HH_hh_gas_kWh,HH_rest_gas_kWh)/1000)*0.902</f>
        <v>139004.09259160823</v>
      </c>
      <c r="E5" s="17">
        <f>B46*B57</f>
        <v>2573.9485223804049</v>
      </c>
      <c r="F5" s="17">
        <f>B51*B62</f>
        <v>0</v>
      </c>
      <c r="G5" s="18"/>
      <c r="H5" s="17"/>
      <c r="I5" s="17"/>
      <c r="J5" s="17">
        <f>B50*B61+C50*C61</f>
        <v>7748.8814926369705</v>
      </c>
      <c r="K5" s="17"/>
      <c r="L5" s="17"/>
      <c r="M5" s="17"/>
      <c r="N5" s="17">
        <f>B48*B59+C48*C59</f>
        <v>15455.049432190304</v>
      </c>
      <c r="O5" s="17">
        <f>B69*B70*B71</f>
        <v>314.23</v>
      </c>
      <c r="P5" s="17">
        <f>B77*B78*B79/1000-B77*B78*B79/1000/B80</f>
        <v>305.06666666666666</v>
      </c>
    </row>
    <row r="6" spans="1:16">
      <c r="A6" s="16" t="s">
        <v>631</v>
      </c>
      <c r="B6" s="844">
        <f>kWh_PV_kleiner_dan_10kW</f>
        <v>4228.0700807653184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50079.659080765319</v>
      </c>
      <c r="C8" s="21">
        <f>C5</f>
        <v>0</v>
      </c>
      <c r="D8" s="21">
        <f>D5</f>
        <v>139004.09259160823</v>
      </c>
      <c r="E8" s="21">
        <f>E5</f>
        <v>2573.9485223804049</v>
      </c>
      <c r="F8" s="21">
        <f>F5</f>
        <v>0</v>
      </c>
      <c r="G8" s="21"/>
      <c r="H8" s="21"/>
      <c r="I8" s="21"/>
      <c r="J8" s="21">
        <f>J5</f>
        <v>7748.8814926369705</v>
      </c>
      <c r="K8" s="21"/>
      <c r="L8" s="21">
        <f>L5</f>
        <v>0</v>
      </c>
      <c r="M8" s="21">
        <f>M5</f>
        <v>0</v>
      </c>
      <c r="N8" s="21">
        <f>N5</f>
        <v>15455.049432190304</v>
      </c>
      <c r="O8" s="21">
        <f>O5</f>
        <v>314.23</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0.17374428883559156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8701.0547521164463</v>
      </c>
      <c r="C12" s="23">
        <f ca="1">C10*C8</f>
        <v>0</v>
      </c>
      <c r="D12" s="23">
        <f>D8*D10</f>
        <v>28078.826703504867</v>
      </c>
      <c r="E12" s="23">
        <f>E10*E8</f>
        <v>584.28631458035193</v>
      </c>
      <c r="F12" s="23">
        <f>F10*F8</f>
        <v>0</v>
      </c>
      <c r="G12" s="23"/>
      <c r="H12" s="23"/>
      <c r="I12" s="23"/>
      <c r="J12" s="23">
        <f>J10*J8</f>
        <v>2743.1040483934876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14173</v>
      </c>
      <c r="C28" s="36"/>
      <c r="D28" s="228"/>
    </row>
    <row r="29" spans="1:7" s="15" customFormat="1">
      <c r="A29" s="230" t="s">
        <v>741</v>
      </c>
      <c r="B29" s="37">
        <f>SUM(HH_hh_gas_aantal,HH_rest_gas_aantal)</f>
        <v>12189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12189</v>
      </c>
      <c r="C32" s="167">
        <f>IF(ISERROR(B32/SUM($B$32,$B$34,$B$35,$B$36,$B$38,$B$39)*100),0,B32/SUM($B$32,$B$34,$B$35,$B$36,$B$38,$B$39)*100)</f>
        <v>86.098749735113373</v>
      </c>
      <c r="D32" s="233"/>
      <c r="G32" s="15"/>
    </row>
    <row r="33" spans="1:7">
      <c r="A33" s="171" t="s">
        <v>72</v>
      </c>
      <c r="B33" s="34" t="s">
        <v>111</v>
      </c>
      <c r="C33" s="167"/>
      <c r="D33" s="233"/>
      <c r="G33" s="15"/>
    </row>
    <row r="34" spans="1:7">
      <c r="A34" s="171" t="s">
        <v>73</v>
      </c>
      <c r="B34" s="33">
        <f>IF((($B$28-$B$32-$B$39-$B$77-$B$38)*C20/100)&lt;0,0,($B$28-$B$32-$B$39-$B$77-$B$38)*C20/100)</f>
        <v>172.51092831962396</v>
      </c>
      <c r="C34" s="167">
        <f>IF(ISERROR(B34/SUM($B$32,$B$34,$B$35,$B$36,$B$38,$B$39)*100),0,B34/SUM($B$32,$B$34,$B$35,$B$36,$B$38,$B$39)*100)</f>
        <v>1.218555684958847</v>
      </c>
      <c r="D34" s="233"/>
      <c r="G34" s="15"/>
    </row>
    <row r="35" spans="1:7">
      <c r="A35" s="171" t="s">
        <v>74</v>
      </c>
      <c r="B35" s="33">
        <f>IF((($B$28-$B$32-$B$39-$B$77-$B$38)*C21/100)&lt;0,0,($B$28-$B$32-$B$39-$B$77-$B$38)*C21/100)</f>
        <v>1302.0467685076378</v>
      </c>
      <c r="C35" s="167">
        <f>IF(ISERROR(B35/SUM($B$32,$B$34,$B$35,$B$36,$B$38,$B$39)*100),0,B35/SUM($B$32,$B$34,$B$35,$B$36,$B$38,$B$39)*100)</f>
        <v>9.1971940983798675</v>
      </c>
      <c r="D35" s="233"/>
      <c r="G35" s="15"/>
    </row>
    <row r="36" spans="1:7">
      <c r="A36" s="171" t="s">
        <v>75</v>
      </c>
      <c r="B36" s="33">
        <f>IF((($B$28-$B$32-$B$39-$B$77-$B$38)*C22/100)&lt;0,0,($B$28-$B$32-$B$39-$B$77-$B$38)*C22/100)</f>
        <v>273.14230317273797</v>
      </c>
      <c r="C36" s="167">
        <f>IF(ISERROR(B36/SUM($B$32,$B$34,$B$35,$B$36,$B$38,$B$39)*100),0,B36/SUM($B$32,$B$34,$B$35,$B$36,$B$38,$B$39)*100)</f>
        <v>1.929379834518175</v>
      </c>
      <c r="D36" s="233"/>
      <c r="G36" s="15"/>
    </row>
    <row r="37" spans="1:7">
      <c r="A37" s="171" t="s">
        <v>76</v>
      </c>
      <c r="B37" s="34" t="s">
        <v>111</v>
      </c>
      <c r="C37" s="167"/>
      <c r="D37" s="173"/>
      <c r="G37" s="15"/>
    </row>
    <row r="38" spans="1:7">
      <c r="A38" s="171" t="s">
        <v>77</v>
      </c>
      <c r="B38" s="33">
        <f>IF((B24-(B29-B18)*0.1)&lt;0,0,B24-(B29-B18)*0.1)</f>
        <v>220.3</v>
      </c>
      <c r="C38" s="167">
        <f>IF(ISERROR(B38/SUM($B$32,$B$34,$B$35,$B$36,$B$38,$B$39)*100),0,B38/SUM($B$32,$B$34,$B$35,$B$36,$B$38,$B$39)*100)</f>
        <v>1.5561206470297382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12189</v>
      </c>
      <c r="C44" s="34" t="s">
        <v>111</v>
      </c>
      <c r="D44" s="174"/>
    </row>
    <row r="45" spans="1:7">
      <c r="A45" s="171" t="s">
        <v>72</v>
      </c>
      <c r="B45" s="33" t="str">
        <f t="shared" si="0"/>
        <v>-</v>
      </c>
      <c r="C45" s="34" t="s">
        <v>111</v>
      </c>
      <c r="D45" s="174"/>
    </row>
    <row r="46" spans="1:7">
      <c r="A46" s="171" t="s">
        <v>73</v>
      </c>
      <c r="B46" s="33">
        <f t="shared" si="0"/>
        <v>172.51092831962396</v>
      </c>
      <c r="C46" s="34" t="s">
        <v>111</v>
      </c>
      <c r="D46" s="174"/>
    </row>
    <row r="47" spans="1:7">
      <c r="A47" s="171" t="s">
        <v>74</v>
      </c>
      <c r="B47" s="33">
        <f t="shared" si="0"/>
        <v>1302.0467685076378</v>
      </c>
      <c r="C47" s="34" t="s">
        <v>111</v>
      </c>
      <c r="D47" s="174"/>
    </row>
    <row r="48" spans="1:7">
      <c r="A48" s="171" t="s">
        <v>75</v>
      </c>
      <c r="B48" s="33">
        <f t="shared" si="0"/>
        <v>273.14230317273797</v>
      </c>
      <c r="C48" s="33">
        <f>B48*10</f>
        <v>2731.4230317273796</v>
      </c>
      <c r="D48" s="234"/>
    </row>
    <row r="49" spans="1:6">
      <c r="A49" s="171" t="s">
        <v>76</v>
      </c>
      <c r="B49" s="33" t="str">
        <f t="shared" si="0"/>
        <v>-</v>
      </c>
      <c r="C49" s="34" t="s">
        <v>111</v>
      </c>
      <c r="D49" s="234"/>
    </row>
    <row r="50" spans="1:6">
      <c r="A50" s="171" t="s">
        <v>77</v>
      </c>
      <c r="B50" s="33">
        <f t="shared" si="0"/>
        <v>220.3</v>
      </c>
      <c r="C50" s="33">
        <f>B50*2</f>
        <v>440.6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49522.093000000008</v>
      </c>
      <c r="C5" s="17">
        <f>IF(ISERROR('Eigen informatie GS &amp; warmtenet'!B58),0,'Eigen informatie GS &amp; warmtenet'!B58)</f>
        <v>0</v>
      </c>
      <c r="D5" s="30">
        <f>SUM(D6:D12)</f>
        <v>47421.53112889819</v>
      </c>
      <c r="E5" s="17">
        <f>SUM(E6:E12)</f>
        <v>413.51239829529061</v>
      </c>
      <c r="F5" s="17">
        <f>SUM(F6:F12)</f>
        <v>7087.4743135035787</v>
      </c>
      <c r="G5" s="18"/>
      <c r="H5" s="17"/>
      <c r="I5" s="17"/>
      <c r="J5" s="17">
        <f>SUM(J6:J12)</f>
        <v>0</v>
      </c>
      <c r="K5" s="17"/>
      <c r="L5" s="17"/>
      <c r="M5" s="17"/>
      <c r="N5" s="17">
        <f>SUM(N6:N12)</f>
        <v>4086.730186351544</v>
      </c>
      <c r="O5" s="17">
        <f>B38*B39*B40</f>
        <v>4.6900000000000004</v>
      </c>
      <c r="P5" s="17">
        <f>B46*B47*B48/1000-B46*B47*B48/1000/B49</f>
        <v>38.133333333333333</v>
      </c>
      <c r="R5" s="32"/>
    </row>
    <row r="6" spans="1:18">
      <c r="A6" s="32" t="s">
        <v>54</v>
      </c>
      <c r="B6" s="37">
        <f>B26</f>
        <v>12765.74</v>
      </c>
      <c r="C6" s="33"/>
      <c r="D6" s="37">
        <f>IF(ISERROR(TER_kantoor_gas_kWh/1000),0,TER_kantoor_gas_kWh/1000)*0.902</f>
        <v>9947.1006899905988</v>
      </c>
      <c r="E6" s="33">
        <f>$C$26*'E Balans VL '!I12/100/3.6*1000000</f>
        <v>36.984221779635469</v>
      </c>
      <c r="F6" s="33">
        <f>$C$26*('E Balans VL '!L12+'E Balans VL '!N12)/100/3.6*1000000</f>
        <v>1444.8005169417456</v>
      </c>
      <c r="G6" s="34"/>
      <c r="H6" s="33"/>
      <c r="I6" s="33"/>
      <c r="J6" s="33">
        <f>$C$26*('E Balans VL '!D12+'E Balans VL '!E12)/100/3.6*1000000</f>
        <v>0</v>
      </c>
      <c r="K6" s="33"/>
      <c r="L6" s="33"/>
      <c r="M6" s="33"/>
      <c r="N6" s="33">
        <f>$C$26*'E Balans VL '!Y12/100/3.6*1000000</f>
        <v>127.77565118279196</v>
      </c>
      <c r="O6" s="33"/>
      <c r="P6" s="33"/>
      <c r="R6" s="32"/>
    </row>
    <row r="7" spans="1:18">
      <c r="A7" s="32" t="s">
        <v>53</v>
      </c>
      <c r="B7" s="37">
        <f t="shared" ref="B7:B12" si="0">B27</f>
        <v>3212.3710000000001</v>
      </c>
      <c r="C7" s="33"/>
      <c r="D7" s="37">
        <f>IF(ISERROR(TER_horeca_gas_kWh/1000),0,TER_horeca_gas_kWh/1000)*0.902</f>
        <v>3753.4272764779262</v>
      </c>
      <c r="E7" s="33">
        <f>$C$27*'E Balans VL '!I9/100/3.6*1000000</f>
        <v>134.84635939281011</v>
      </c>
      <c r="F7" s="33">
        <f>$C$27*('E Balans VL '!L9+'E Balans VL '!N9)/100/3.6*1000000</f>
        <v>690.2437852217389</v>
      </c>
      <c r="G7" s="34"/>
      <c r="H7" s="33"/>
      <c r="I7" s="33"/>
      <c r="J7" s="33">
        <f>$C$27*('E Balans VL '!D9+'E Balans VL '!E9)/100/3.6*1000000</f>
        <v>0</v>
      </c>
      <c r="K7" s="33"/>
      <c r="L7" s="33"/>
      <c r="M7" s="33"/>
      <c r="N7" s="33">
        <f>$C$27*'E Balans VL '!Y9/100/3.6*1000000</f>
        <v>0.82779991349645921</v>
      </c>
      <c r="O7" s="33"/>
      <c r="P7" s="33"/>
      <c r="R7" s="32"/>
    </row>
    <row r="8" spans="1:18">
      <c r="A8" s="6" t="s">
        <v>52</v>
      </c>
      <c r="B8" s="37">
        <f t="shared" si="0"/>
        <v>17951.075000000001</v>
      </c>
      <c r="C8" s="33"/>
      <c r="D8" s="37">
        <f>IF(ISERROR(TER_handel_gas_kWh/1000),0,TER_handel_gas_kWh/1000)*0.902</f>
        <v>10893.961406041879</v>
      </c>
      <c r="E8" s="33">
        <f>$C$28*'E Balans VL '!I13/100/3.6*1000000</f>
        <v>192.80948575502197</v>
      </c>
      <c r="F8" s="33">
        <f>$C$28*('E Balans VL '!L13+'E Balans VL '!N13)/100/3.6*1000000</f>
        <v>2323.9148956714762</v>
      </c>
      <c r="G8" s="34"/>
      <c r="H8" s="33"/>
      <c r="I8" s="33"/>
      <c r="J8" s="33">
        <f>$C$28*('E Balans VL '!D13+'E Balans VL '!E13)/100/3.6*1000000</f>
        <v>0</v>
      </c>
      <c r="K8" s="33"/>
      <c r="L8" s="33"/>
      <c r="M8" s="33"/>
      <c r="N8" s="33">
        <f>$C$28*'E Balans VL '!Y13/100/3.6*1000000</f>
        <v>145.62010057131238</v>
      </c>
      <c r="O8" s="33"/>
      <c r="P8" s="33"/>
      <c r="R8" s="32"/>
    </row>
    <row r="9" spans="1:18">
      <c r="A9" s="32" t="s">
        <v>51</v>
      </c>
      <c r="B9" s="37">
        <f t="shared" si="0"/>
        <v>6678.74</v>
      </c>
      <c r="C9" s="33"/>
      <c r="D9" s="37">
        <f>IF(ISERROR(TER_gezond_gas_kWh/1000),0,TER_gezond_gas_kWh/1000)*0.902</f>
        <v>11724.10814162339</v>
      </c>
      <c r="E9" s="33">
        <f>$C$29*'E Balans VL '!I10/100/3.6*1000000</f>
        <v>5.3167090093303999</v>
      </c>
      <c r="F9" s="33">
        <f>$C$29*('E Balans VL '!L10+'E Balans VL '!N10)/100/3.6*1000000</f>
        <v>811.897363486279</v>
      </c>
      <c r="G9" s="34"/>
      <c r="H9" s="33"/>
      <c r="I9" s="33"/>
      <c r="J9" s="33">
        <f>$C$29*('E Balans VL '!D10+'E Balans VL '!E10)/100/3.6*1000000</f>
        <v>0</v>
      </c>
      <c r="K9" s="33"/>
      <c r="L9" s="33"/>
      <c r="M9" s="33"/>
      <c r="N9" s="33">
        <f>$C$29*'E Balans VL '!Y10/100/3.6*1000000</f>
        <v>53.949092304094179</v>
      </c>
      <c r="O9" s="33"/>
      <c r="P9" s="33"/>
      <c r="R9" s="32"/>
    </row>
    <row r="10" spans="1:18">
      <c r="A10" s="32" t="s">
        <v>50</v>
      </c>
      <c r="B10" s="37">
        <f t="shared" si="0"/>
        <v>4989.9930000000004</v>
      </c>
      <c r="C10" s="33"/>
      <c r="D10" s="37">
        <f>IF(ISERROR(TER_ander_gas_kWh/1000),0,TER_ander_gas_kWh/1000)*0.902</f>
        <v>3342.6860484236213</v>
      </c>
      <c r="E10" s="33">
        <f>$C$30*'E Balans VL '!I14/100/3.6*1000000</f>
        <v>17.10096815162948</v>
      </c>
      <c r="F10" s="33">
        <f>$C$30*('E Balans VL '!L14+'E Balans VL '!N14)/100/3.6*1000000</f>
        <v>1114.5616667700097</v>
      </c>
      <c r="G10" s="34"/>
      <c r="H10" s="33"/>
      <c r="I10" s="33"/>
      <c r="J10" s="33">
        <f>$C$30*('E Balans VL '!D14+'E Balans VL '!E14)/100/3.6*1000000</f>
        <v>0</v>
      </c>
      <c r="K10" s="33"/>
      <c r="L10" s="33"/>
      <c r="M10" s="33"/>
      <c r="N10" s="33">
        <f>$C$30*'E Balans VL '!Y14/100/3.6*1000000</f>
        <v>3514.9783289989041</v>
      </c>
      <c r="O10" s="33"/>
      <c r="P10" s="33"/>
      <c r="R10" s="32"/>
    </row>
    <row r="11" spans="1:18">
      <c r="A11" s="32" t="s">
        <v>55</v>
      </c>
      <c r="B11" s="37">
        <f t="shared" si="0"/>
        <v>1080.7809999999999</v>
      </c>
      <c r="C11" s="33"/>
      <c r="D11" s="37">
        <f>IF(ISERROR(TER_onderwijs_gas_kWh/1000),0,TER_onderwijs_gas_kWh/1000)*0.902</f>
        <v>2849.442024035664</v>
      </c>
      <c r="E11" s="33">
        <f>$C$31*'E Balans VL '!I11/100/3.6*1000000</f>
        <v>0.7471106198648052</v>
      </c>
      <c r="F11" s="33">
        <f>$C$31*('E Balans VL '!L11+'E Balans VL '!N11)/100/3.6*1000000</f>
        <v>282.91707124212189</v>
      </c>
      <c r="G11" s="34"/>
      <c r="H11" s="33"/>
      <c r="I11" s="33"/>
      <c r="J11" s="33">
        <f>$C$31*('E Balans VL '!D11+'E Balans VL '!E11)/100/3.6*1000000</f>
        <v>0</v>
      </c>
      <c r="K11" s="33"/>
      <c r="L11" s="33"/>
      <c r="M11" s="33"/>
      <c r="N11" s="33">
        <f>$C$31*'E Balans VL '!Y11/100/3.6*1000000</f>
        <v>1.0758254317553724</v>
      </c>
      <c r="O11" s="33"/>
      <c r="P11" s="33"/>
      <c r="R11" s="32"/>
    </row>
    <row r="12" spans="1:18">
      <c r="A12" s="32" t="s">
        <v>260</v>
      </c>
      <c r="B12" s="37">
        <f t="shared" si="0"/>
        <v>2843.393</v>
      </c>
      <c r="C12" s="33"/>
      <c r="D12" s="37">
        <f>IF(ISERROR(TER_rest_gas_kWh/1000),0,TER_rest_gas_kWh/1000)*0.902</f>
        <v>4910.8055423051082</v>
      </c>
      <c r="E12" s="33">
        <f>$C$32*'E Balans VL '!I8/100/3.6*1000000</f>
        <v>25.707543586998352</v>
      </c>
      <c r="F12" s="33">
        <f>$C$32*('E Balans VL '!L8+'E Balans VL '!N8)/100/3.6*1000000</f>
        <v>419.1390141702073</v>
      </c>
      <c r="G12" s="34"/>
      <c r="H12" s="33"/>
      <c r="I12" s="33"/>
      <c r="J12" s="33">
        <f>$C$32*('E Balans VL '!D8+'E Balans VL '!E8)/100/3.6*1000000</f>
        <v>0</v>
      </c>
      <c r="K12" s="33"/>
      <c r="L12" s="33"/>
      <c r="M12" s="33"/>
      <c r="N12" s="33">
        <f>$C$32*'E Balans VL '!Y8/100/3.6*1000000</f>
        <v>242.50338794918986</v>
      </c>
      <c r="O12" s="33"/>
      <c r="P12" s="33"/>
      <c r="R12" s="32"/>
    </row>
    <row r="13" spans="1:18">
      <c r="A13" s="16" t="s">
        <v>494</v>
      </c>
      <c r="B13" s="247">
        <f ca="1">'lokale energieproductie'!N90+'lokale energieproductie'!N59</f>
        <v>14094</v>
      </c>
      <c r="C13" s="247">
        <f ca="1">'lokale energieproductie'!O90+'lokale energieproductie'!O59</f>
        <v>20134.285714285714</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-40268.571428571428</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63616.093000000008</v>
      </c>
      <c r="C16" s="21">
        <f t="shared" ca="1" si="1"/>
        <v>20134.285714285714</v>
      </c>
      <c r="D16" s="21">
        <f t="shared" ca="1" si="1"/>
        <v>47421.53112889819</v>
      </c>
      <c r="E16" s="21">
        <f t="shared" si="1"/>
        <v>413.51239829529061</v>
      </c>
      <c r="F16" s="21">
        <f t="shared" ca="1" si="1"/>
        <v>7087.4743135035787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0.17374428883559156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11052.932836783855</v>
      </c>
      <c r="C20" s="23">
        <f t="shared" ref="C20:P20" ca="1" si="2">C16*C18</f>
        <v>0</v>
      </c>
      <c r="D20" s="23">
        <f t="shared" ca="1" si="2"/>
        <v>9579.1492880374353</v>
      </c>
      <c r="E20" s="23">
        <f t="shared" si="2"/>
        <v>93.867314413030968</v>
      </c>
      <c r="F20" s="23">
        <f t="shared" ca="1" si="2"/>
        <v>1892.3556417054556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12765.74</v>
      </c>
      <c r="C26" s="39">
        <f>IF(ISERROR(B26*3.6/1000000/'E Balans VL '!Z12*100),0,B26*3.6/1000000/'E Balans VL '!Z12*100)</f>
        <v>0.2804142377733328</v>
      </c>
      <c r="D26" s="237" t="s">
        <v>692</v>
      </c>
      <c r="F26" s="6"/>
    </row>
    <row r="27" spans="1:18">
      <c r="A27" s="231" t="s">
        <v>53</v>
      </c>
      <c r="B27" s="33">
        <f>IF(ISERROR(TER_horeca_ele_kWh/1000),0,TER_horeca_ele_kWh/1000)</f>
        <v>3212.3710000000001</v>
      </c>
      <c r="C27" s="39">
        <f>IF(ISERROR(B27*3.6/1000000/'E Balans VL '!Z9*100),0,B27*3.6/1000000/'E Balans VL '!Z9*100)</f>
        <v>0.25814603114233409</v>
      </c>
      <c r="D27" s="237" t="s">
        <v>692</v>
      </c>
      <c r="F27" s="6"/>
    </row>
    <row r="28" spans="1:18">
      <c r="A28" s="171" t="s">
        <v>52</v>
      </c>
      <c r="B28" s="33">
        <f>IF(ISERROR(TER_handel_ele_kWh/1000),0,TER_handel_ele_kWh/1000)</f>
        <v>17951.075000000001</v>
      </c>
      <c r="C28" s="39">
        <f>IF(ISERROR(B28*3.6/1000000/'E Balans VL '!Z13*100),0,B28*3.6/1000000/'E Balans VL '!Z13*100)</f>
        <v>0.53080074686568934</v>
      </c>
      <c r="D28" s="237" t="s">
        <v>692</v>
      </c>
      <c r="F28" s="6"/>
    </row>
    <row r="29" spans="1:18">
      <c r="A29" s="231" t="s">
        <v>51</v>
      </c>
      <c r="B29" s="33">
        <f>IF(ISERROR(TER_gezond_ele_kWh/1000),0,TER_gezond_ele_kWh/1000)</f>
        <v>6678.74</v>
      </c>
      <c r="C29" s="39">
        <f>IF(ISERROR(B29*3.6/1000000/'E Balans VL '!Z10*100),0,B29*3.6/1000000/'E Balans VL '!Z10*100)</f>
        <v>0.75252156813293125</v>
      </c>
      <c r="D29" s="237" t="s">
        <v>692</v>
      </c>
      <c r="F29" s="6"/>
    </row>
    <row r="30" spans="1:18">
      <c r="A30" s="231" t="s">
        <v>50</v>
      </c>
      <c r="B30" s="33">
        <f>IF(ISERROR(TER_ander_ele_kWh/1000),0,TER_ander_ele_kWh/1000)</f>
        <v>4989.9930000000004</v>
      </c>
      <c r="C30" s="39">
        <f>IF(ISERROR(B30*3.6/1000000/'E Balans VL '!Z14*100),0,B30*3.6/1000000/'E Balans VL '!Z14*100)</f>
        <v>0.37738464058226756</v>
      </c>
      <c r="D30" s="237" t="s">
        <v>692</v>
      </c>
      <c r="F30" s="6"/>
    </row>
    <row r="31" spans="1:18">
      <c r="A31" s="231" t="s">
        <v>55</v>
      </c>
      <c r="B31" s="33">
        <f>IF(ISERROR(TER_onderwijs_ele_kWh/1000),0,TER_onderwijs_ele_kWh/1000)</f>
        <v>1080.7809999999999</v>
      </c>
      <c r="C31" s="39">
        <f>IF(ISERROR(B31*3.6/1000000/'E Balans VL '!Z11*100),0,B31*3.6/1000000/'E Balans VL '!Z11*100)</f>
        <v>0.2243450463461773</v>
      </c>
      <c r="D31" s="237" t="s">
        <v>692</v>
      </c>
    </row>
    <row r="32" spans="1:18">
      <c r="A32" s="231" t="s">
        <v>260</v>
      </c>
      <c r="B32" s="33">
        <f>IF(ISERROR(TER_rest_ele_kWh/1000),0,TER_rest_ele_kWh/1000)</f>
        <v>2843.393</v>
      </c>
      <c r="C32" s="39">
        <f>IF(ISERROR(B32*3.6/1000000/'E Balans VL '!Z8*100),0,B32*3.6/1000000/'E Balans VL '!Z8*100)</f>
        <v>2.3953913313543875E-2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40325.124169999996</v>
      </c>
      <c r="C5" s="17">
        <f>IF(ISERROR('Eigen informatie GS &amp; warmtenet'!B59),0,'Eigen informatie GS &amp; warmtenet'!B59)</f>
        <v>0</v>
      </c>
      <c r="D5" s="30">
        <f>SUM(D6:D15)</f>
        <v>51986.685750519217</v>
      </c>
      <c r="E5" s="17">
        <f>SUM(E6:E15)</f>
        <v>4438.5743059715223</v>
      </c>
      <c r="F5" s="17">
        <f>SUM(F6:F15)</f>
        <v>23363.821897508453</v>
      </c>
      <c r="G5" s="18"/>
      <c r="H5" s="17"/>
      <c r="I5" s="17"/>
      <c r="J5" s="17">
        <f>SUM(J6:J15)</f>
        <v>203.48581899110923</v>
      </c>
      <c r="K5" s="17"/>
      <c r="L5" s="17"/>
      <c r="M5" s="17"/>
      <c r="N5" s="17">
        <f>SUM(N6:N15)</f>
        <v>10446.719451633375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491.1499</v>
      </c>
      <c r="C8" s="33"/>
      <c r="D8" s="37">
        <f>IF( ISERROR(IND_metaal_Gas_kWH/1000),0,IND_metaal_Gas_kWH/1000)*0.902</f>
        <v>290.72501417667075</v>
      </c>
      <c r="E8" s="33">
        <f>C30*'E Balans VL '!I18/100/3.6*1000000</f>
        <v>12.291763009176915</v>
      </c>
      <c r="F8" s="33">
        <f>C30*'E Balans VL '!L18/100/3.6*1000000+C30*'E Balans VL '!N18/100/3.6*1000000</f>
        <v>153.92882176524654</v>
      </c>
      <c r="G8" s="34"/>
      <c r="H8" s="33"/>
      <c r="I8" s="33"/>
      <c r="J8" s="40">
        <f>C30*'E Balans VL '!D18/100/3.6*1000000+C30*'E Balans VL '!E18/100/3.6*1000000</f>
        <v>0</v>
      </c>
      <c r="K8" s="33"/>
      <c r="L8" s="33"/>
      <c r="M8" s="33"/>
      <c r="N8" s="33">
        <f>C30*'E Balans VL '!Y18/100/3.6*1000000</f>
        <v>12.338960133140414</v>
      </c>
      <c r="O8" s="33"/>
      <c r="P8" s="33"/>
      <c r="R8" s="32"/>
    </row>
    <row r="9" spans="1:18">
      <c r="A9" s="6" t="s">
        <v>33</v>
      </c>
      <c r="B9" s="37">
        <f t="shared" si="0"/>
        <v>11859.069</v>
      </c>
      <c r="C9" s="33"/>
      <c r="D9" s="37">
        <f>IF( ISERROR(IND_andere_gas_kWh/1000),0,IND_andere_gas_kWh/1000)*0.902</f>
        <v>2995.6247281413589</v>
      </c>
      <c r="E9" s="33">
        <f>C31*'E Balans VL '!I19/100/3.6*1000000</f>
        <v>3260.7575746256689</v>
      </c>
      <c r="F9" s="33">
        <f>C31*'E Balans VL '!L19/100/3.6*1000000+C31*'E Balans VL '!N19/100/3.6*1000000</f>
        <v>9347.0099981701478</v>
      </c>
      <c r="G9" s="34"/>
      <c r="H9" s="33"/>
      <c r="I9" s="33"/>
      <c r="J9" s="40">
        <f>C31*'E Balans VL '!D19/100/3.6*1000000+C31*'E Balans VL '!E19/100/3.6*1000000</f>
        <v>0</v>
      </c>
      <c r="K9" s="33"/>
      <c r="L9" s="33"/>
      <c r="M9" s="33"/>
      <c r="N9" s="33">
        <f>C31*'E Balans VL '!Y19/100/3.6*1000000</f>
        <v>3839.0936623399216</v>
      </c>
      <c r="O9" s="33"/>
      <c r="P9" s="33"/>
      <c r="R9" s="32"/>
    </row>
    <row r="10" spans="1:18">
      <c r="A10" s="6" t="s">
        <v>41</v>
      </c>
      <c r="B10" s="37">
        <f t="shared" si="0"/>
        <v>4662.7969999999996</v>
      </c>
      <c r="C10" s="33"/>
      <c r="D10" s="37">
        <f>IF( ISERROR(IND_voed_gas_kWh/1000),0,IND_voed_gas_kWh/1000)*0.902</f>
        <v>3983.5771026107823</v>
      </c>
      <c r="E10" s="33">
        <f>C32*'E Balans VL '!I20/100/3.6*1000000</f>
        <v>47.534646665475343</v>
      </c>
      <c r="F10" s="33">
        <f>C32*'E Balans VL '!L20/100/3.6*1000000+C32*'E Balans VL '!N20/100/3.6*1000000</f>
        <v>8807.9943700198946</v>
      </c>
      <c r="G10" s="34"/>
      <c r="H10" s="33"/>
      <c r="I10" s="33"/>
      <c r="J10" s="40">
        <f>C32*'E Balans VL '!D20/100/3.6*1000000+C32*'E Balans VL '!E20/100/3.6*1000000</f>
        <v>111.59598895085729</v>
      </c>
      <c r="K10" s="33"/>
      <c r="L10" s="33"/>
      <c r="M10" s="33"/>
      <c r="N10" s="33">
        <f>C32*'E Balans VL '!Y20/100/3.6*1000000</f>
        <v>2457.8311073547097</v>
      </c>
      <c r="O10" s="33"/>
      <c r="P10" s="33"/>
      <c r="R10" s="32"/>
    </row>
    <row r="11" spans="1:18">
      <c r="A11" s="6" t="s">
        <v>40</v>
      </c>
      <c r="B11" s="37">
        <f t="shared" si="0"/>
        <v>1387.482</v>
      </c>
      <c r="C11" s="33"/>
      <c r="D11" s="37">
        <f>IF( ISERROR(IND_textiel_gas_kWh/1000),0,IND_textiel_gas_kWh/1000)*0.902</f>
        <v>320.6157855040762</v>
      </c>
      <c r="E11" s="33">
        <f>C33*'E Balans VL '!I21/100/3.6*1000000</f>
        <v>3.6775060804787194</v>
      </c>
      <c r="F11" s="33">
        <f>C33*'E Balans VL '!L21/100/3.6*1000000+C33*'E Balans VL '!N21/100/3.6*1000000</f>
        <v>61.966377414259988</v>
      </c>
      <c r="G11" s="34"/>
      <c r="H11" s="33"/>
      <c r="I11" s="33"/>
      <c r="J11" s="40">
        <f>C33*'E Balans VL '!D21/100/3.6*1000000+C33*'E Balans VL '!E21/100/3.6*1000000</f>
        <v>0</v>
      </c>
      <c r="K11" s="33"/>
      <c r="L11" s="33"/>
      <c r="M11" s="33"/>
      <c r="N11" s="33">
        <f>C33*'E Balans VL '!Y21/100/3.6*1000000</f>
        <v>13.07602601943861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21.743269999999999</v>
      </c>
      <c r="C13" s="33"/>
      <c r="D13" s="37">
        <f>IF( ISERROR(IND_papier_gas_kWh/1000),0,IND_papier_gas_kWh/1000)*0.902</f>
        <v>57.791234549639469</v>
      </c>
      <c r="E13" s="33">
        <f>C35*'E Balans VL '!I23/100/3.6*1000000</f>
        <v>4.5031779805384954E-2</v>
      </c>
      <c r="F13" s="33">
        <f>C35*'E Balans VL '!L23/100/3.6*1000000+C35*'E Balans VL '!N23/100/3.6*1000000</f>
        <v>0.43121565796597355</v>
      </c>
      <c r="G13" s="34"/>
      <c r="H13" s="33"/>
      <c r="I13" s="33"/>
      <c r="J13" s="40">
        <f>C35*'E Balans VL '!D23/100/3.6*1000000+C35*'E Balans VL '!E23/100/3.6*1000000</f>
        <v>0</v>
      </c>
      <c r="K13" s="33"/>
      <c r="L13" s="33"/>
      <c r="M13" s="33"/>
      <c r="N13" s="33">
        <f>C35*'E Balans VL '!Y23/100/3.6*1000000</f>
        <v>9.181049417813643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21902.883000000002</v>
      </c>
      <c r="C15" s="33"/>
      <c r="D15" s="37">
        <f>IF( ISERROR(IND_rest_gas_kWh/1000),0,IND_rest_gas_kWh/1000)*0.902</f>
        <v>44338.351885536686</v>
      </c>
      <c r="E15" s="33">
        <f>C37*'E Balans VL '!I15/100/3.6*1000000</f>
        <v>1114.2677838109164</v>
      </c>
      <c r="F15" s="33">
        <f>C37*'E Balans VL '!L15/100/3.6*1000000+C37*'E Balans VL '!N15/100/3.6*1000000</f>
        <v>4992.4911144809394</v>
      </c>
      <c r="G15" s="34"/>
      <c r="H15" s="33"/>
      <c r="I15" s="33"/>
      <c r="J15" s="40">
        <f>C37*'E Balans VL '!D15/100/3.6*1000000+C37*'E Balans VL '!E15/100/3.6*1000000</f>
        <v>91.889830040251923</v>
      </c>
      <c r="K15" s="33"/>
      <c r="L15" s="33"/>
      <c r="M15" s="33"/>
      <c r="N15" s="33">
        <f>C37*'E Balans VL '!Y15/100/3.6*1000000</f>
        <v>4115.1986463683515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40325.124169999996</v>
      </c>
      <c r="C18" s="21">
        <f>C5+C16</f>
        <v>0</v>
      </c>
      <c r="D18" s="21">
        <f>MAX((D5+D16),0)</f>
        <v>51986.685750519217</v>
      </c>
      <c r="E18" s="21">
        <f>MAX((E5+E16),0)</f>
        <v>4438.5743059715223</v>
      </c>
      <c r="F18" s="21">
        <f>MAX((F5+F16),0)</f>
        <v>23363.821897508453</v>
      </c>
      <c r="G18" s="21"/>
      <c r="H18" s="21"/>
      <c r="I18" s="21"/>
      <c r="J18" s="21">
        <f>MAX((J5+J16),0)</f>
        <v>203.48581899110923</v>
      </c>
      <c r="K18" s="21"/>
      <c r="L18" s="21">
        <f>MAX((L5+L16),0)</f>
        <v>0</v>
      </c>
      <c r="M18" s="21"/>
      <c r="N18" s="21">
        <f>MAX((N5+N16),0)</f>
        <v>10446.719451633375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0.17374428883559156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7006.260021123574</v>
      </c>
      <c r="C22" s="23">
        <f ca="1">C18*C20</f>
        <v>0</v>
      </c>
      <c r="D22" s="23">
        <f>D18*D20</f>
        <v>10501.310521604883</v>
      </c>
      <c r="E22" s="23">
        <f>E18*E20</f>
        <v>1007.5563674555356</v>
      </c>
      <c r="F22" s="23">
        <f>F18*F20</f>
        <v>6238.1404466347576</v>
      </c>
      <c r="G22" s="23"/>
      <c r="H22" s="23"/>
      <c r="I22" s="23"/>
      <c r="J22" s="23">
        <f>J18*J20</f>
        <v>72.033979922852666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491.1499</v>
      </c>
      <c r="C30" s="39">
        <f>IF(ISERROR(B30*3.6/1000000/'E Balans VL '!Z18*100),0,B30*3.6/1000000/'E Balans VL '!Z18*100)</f>
        <v>6.8744618248762962E-2</v>
      </c>
      <c r="D30" s="237" t="s">
        <v>692</v>
      </c>
    </row>
    <row r="31" spans="1:18">
      <c r="A31" s="6" t="s">
        <v>33</v>
      </c>
      <c r="B31" s="37">
        <f>IF( ISERROR(IND_ander_ele_kWh/1000),0,IND_ander_ele_kWh/1000)</f>
        <v>11859.069</v>
      </c>
      <c r="C31" s="39">
        <f>IF(ISERROR(B31*3.6/1000000/'E Balans VL '!Z19*100),0,B31*3.6/1000000/'E Balans VL '!Z19*100)</f>
        <v>0.51906952631568348</v>
      </c>
      <c r="D31" s="237" t="s">
        <v>692</v>
      </c>
    </row>
    <row r="32" spans="1:18">
      <c r="A32" s="171" t="s">
        <v>41</v>
      </c>
      <c r="B32" s="37">
        <f>IF( ISERROR(IND_voed_ele_kWh/1000),0,IND_voed_ele_kWh/1000)</f>
        <v>4662.7969999999996</v>
      </c>
      <c r="C32" s="39">
        <f>IF(ISERROR(B32*3.6/1000000/'E Balans VL '!Z20*100),0,B32*3.6/1000000/'E Balans VL '!Z20*100)</f>
        <v>1.154353693349377</v>
      </c>
      <c r="D32" s="237" t="s">
        <v>692</v>
      </c>
    </row>
    <row r="33" spans="1:5">
      <c r="A33" s="171" t="s">
        <v>40</v>
      </c>
      <c r="B33" s="37">
        <f>IF( ISERROR(IND_textiel_ele_kWh/1000),0,IND_textiel_ele_kWh/1000)</f>
        <v>1387.482</v>
      </c>
      <c r="C33" s="39">
        <f>IF(ISERROR(B33*3.6/1000000/'E Balans VL '!Z21*100),0,B33*3.6/1000000/'E Balans VL '!Z21*100)</f>
        <v>0.15634478067939711</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21.743269999999999</v>
      </c>
      <c r="C35" s="39">
        <f>IF(ISERROR(B35*3.6/1000000/'E Balans VL '!Z22*100),0,B35*3.6/1000000/'E Balans VL '!Z22*100)</f>
        <v>6.16985294825951E-4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21902.883000000002</v>
      </c>
      <c r="C37" s="39">
        <f>IF(ISERROR(B37*3.6/1000000/'E Balans VL '!Z15*100),0,B37*3.6/1000000/'E Balans VL '!Z15*100)</f>
        <v>0.16240612751274661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1087.7611000000002</v>
      </c>
      <c r="C5" s="17">
        <f>'Eigen informatie GS &amp; warmtenet'!B60</f>
        <v>0</v>
      </c>
      <c r="D5" s="30">
        <f>IF(ISERROR(SUM(LB_lb_gas_kWh,LB_rest_gas_kWh,onbekend_gas_kWh)/1000),0,SUM(LB_lb_gas_kWh,LB_rest_gas_kWh,onbekend_gas_kWh)/1000)*0.902</f>
        <v>4488.8143888736422</v>
      </c>
      <c r="E5" s="17">
        <f>B17*'E Balans VL '!I25/3.6*1000000/100</f>
        <v>10.075298904427962</v>
      </c>
      <c r="F5" s="17">
        <f>B17*('E Balans VL '!L25/3.6*1000000+'E Balans VL '!N25/3.6*1000000)/100</f>
        <v>2759.8571289768988</v>
      </c>
      <c r="G5" s="18"/>
      <c r="H5" s="17"/>
      <c r="I5" s="17"/>
      <c r="J5" s="17">
        <f>('E Balans VL '!D25+'E Balans VL '!E25)/3.6*1000000*landbouw!B17/100</f>
        <v>166.76591607930615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1087.7611000000002</v>
      </c>
      <c r="C8" s="21">
        <f>C5+C6</f>
        <v>0</v>
      </c>
      <c r="D8" s="21">
        <f>MAX((D5+D6),0)</f>
        <v>4488.8143888736422</v>
      </c>
      <c r="E8" s="21">
        <f>MAX((E5+E6),0)</f>
        <v>10.075298904427962</v>
      </c>
      <c r="F8" s="21">
        <f>MAX((F5+F6),0)</f>
        <v>2759.8571289768988</v>
      </c>
      <c r="G8" s="21"/>
      <c r="H8" s="21"/>
      <c r="I8" s="21"/>
      <c r="J8" s="21">
        <f>MAX((J5+J6),0)</f>
        <v>166.76591607930615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0.17374428883559156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188.99227874252082</v>
      </c>
      <c r="C12" s="23">
        <f ca="1">C8*C10</f>
        <v>0</v>
      </c>
      <c r="D12" s="23">
        <f>D8*D10</f>
        <v>906.74050655247584</v>
      </c>
      <c r="E12" s="23">
        <f>E8*E10</f>
        <v>2.2870928513051476</v>
      </c>
      <c r="F12" s="23">
        <f>F8*F10</f>
        <v>736.88185343683199</v>
      </c>
      <c r="G12" s="23"/>
      <c r="H12" s="23"/>
      <c r="I12" s="23"/>
      <c r="J12" s="23">
        <f>J8*J10</f>
        <v>59.035134292074375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0.15465656389799884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170.71339392443156</v>
      </c>
      <c r="C26" s="247">
        <f>B26*'GWP N2O_CH4'!B5</f>
        <v>3584.9812724130625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79.918944631070019</v>
      </c>
      <c r="C27" s="247">
        <f>B27*'GWP N2O_CH4'!B5</f>
        <v>1678.2978372524703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2.3633301087371708</v>
      </c>
      <c r="C28" s="247">
        <f>B28*'GWP N2O_CH4'!B4</f>
        <v>732.63233370852288</v>
      </c>
      <c r="D28" s="50"/>
    </row>
    <row r="29" spans="1:4">
      <c r="A29" s="41" t="s">
        <v>277</v>
      </c>
      <c r="B29" s="247">
        <f>B34*'ha_N2O bodem landbouw'!B4</f>
        <v>9.697988171218439</v>
      </c>
      <c r="C29" s="247">
        <f>B29*'GWP N2O_CH4'!B4</f>
        <v>3006.376333077716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2.175087894336754E-3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9.4965997558015951E-5</v>
      </c>
      <c r="C5" s="464" t="s">
        <v>211</v>
      </c>
      <c r="D5" s="449">
        <f>SUM(D6:D11)</f>
        <v>2.4810718194016271E-4</v>
      </c>
      <c r="E5" s="449">
        <f>SUM(E6:E11)</f>
        <v>1.7413736673301632E-3</v>
      </c>
      <c r="F5" s="462" t="s">
        <v>211</v>
      </c>
      <c r="G5" s="449">
        <f>SUM(G6:G11)</f>
        <v>0.55949956193420192</v>
      </c>
      <c r="H5" s="449">
        <f>SUM(H6:H11)</f>
        <v>9.5510549058171954E-2</v>
      </c>
      <c r="I5" s="464" t="s">
        <v>211</v>
      </c>
      <c r="J5" s="464" t="s">
        <v>211</v>
      </c>
      <c r="K5" s="464" t="s">
        <v>211</v>
      </c>
      <c r="L5" s="464" t="s">
        <v>211</v>
      </c>
      <c r="M5" s="449">
        <f>SUM(M6:M11)</f>
        <v>3.5304655650265047E-2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4.2041029774992455E-5</v>
      </c>
      <c r="C6" s="450"/>
      <c r="D6" s="963">
        <f>vkm_2011_GW_PW*SUMIFS(TableVerdeelsleutelVkm[CNG],TableVerdeelsleutelVkm[Voertuigtype],"Lichte voertuigen")*SUMIFS(TableECFTransport[EnergieConsumptieFactor (PJ per km)],TableECFTransport[Index],CONCATENATE($A6,"_CNG_CNG"))</f>
        <v>9.7245530395200519E-5</v>
      </c>
      <c r="E6" s="963">
        <f>vkm_2011_GW_PW*SUMIFS(TableVerdeelsleutelVkm[LPG],TableVerdeelsleutelVkm[Voertuigtype],"Lichte voertuigen")*SUMIFS(TableECFTransport[EnergieConsumptieFactor (PJ per km)],TableECFTransport[Index],CONCATENATE($A6,"_LPG_LPG"))</f>
        <v>6.3320416900266598E-4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0.13154348149495235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3.7079389006162693E-2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8.7506528495467032E-3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6.0663360808375102E-2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2.0745767698512398E-5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3.5097192782981863E-3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1.3507629051439672E-5</v>
      </c>
      <c r="C8" s="450"/>
      <c r="D8" s="452">
        <f>vkm_2011_NGW_PW*SUMIFS(TableVerdeelsleutelVkm[CNG],TableVerdeelsleutelVkm[Voertuigtype],"Lichte voertuigen")*SUMIFS(TableECFTransport[EnergieConsumptieFactor (PJ per km)],TableECFTransport[Index],CONCATENATE($A8,"_CNG_CNG"))</f>
        <v>5.5262624942091566E-5</v>
      </c>
      <c r="E8" s="452">
        <f>vkm_2011_NGW_PW*SUMIFS(TableVerdeelsleutelVkm[LPG],TableVerdeelsleutelVkm[Voertuigtype],"Lichte voertuigen")*SUMIFS(TableECFTransport[EnergieConsumptieFactor (PJ per km)],TableECFTransport[Index],CONCATENATE($A8,"_LPG_LPG"))</f>
        <v>3.3209196798331965E-4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6.4491772317831805E-2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2.0374605407226413E-2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4.3577748334007634E-3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1.1608828738684509E-2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3.7564817522523093E-6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6.7162997086299772E-4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3.9417338731583831E-5</v>
      </c>
      <c r="C10" s="450"/>
      <c r="D10" s="452">
        <f>vkm_2011_SW_PW*SUMIFS(TableVerdeelsleutelVkm[CNG],TableVerdeelsleutelVkm[Voertuigtype],"Lichte voertuigen")*SUMIFS(TableECFTransport[EnergieConsumptieFactor (PJ per km)],TableECFTransport[Index],CONCATENATE($A10,"_CNG_CNG"))</f>
        <v>9.55990266028706E-5</v>
      </c>
      <c r="E10" s="452">
        <f>vkm_2011_SW_PW*SUMIFS(TableVerdeelsleutelVkm[LPG],TableVerdeelsleutelVkm[Voertuigtype],"Lichte voertuigen")*SUMIFS(TableECFTransport[EnergieConsumptieFactor (PJ per km)],TableECFTransport[Index],CONCATENATE($A10,"_LPG_LPG"))</f>
        <v>7.7607753034417755E-4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0.1451487812887389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3.7978226332494036E-2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9.5653243395488266E-3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0.14604333728561925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5.3826062838063389E-5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8.4495543786075687E-3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26.379443766115543</v>
      </c>
      <c r="C14" s="21"/>
      <c r="D14" s="21">
        <f t="shared" ref="D14:M14" si="0">((D5)*10^9/3600)+D12</f>
        <v>68.918661650045195</v>
      </c>
      <c r="E14" s="21">
        <f t="shared" si="0"/>
        <v>483.71490759171201</v>
      </c>
      <c r="F14" s="21"/>
      <c r="G14" s="21">
        <f t="shared" si="0"/>
        <v>155416.54498172278</v>
      </c>
      <c r="H14" s="21">
        <f t="shared" si="0"/>
        <v>26530.708071714434</v>
      </c>
      <c r="I14" s="21"/>
      <c r="J14" s="21"/>
      <c r="K14" s="21"/>
      <c r="L14" s="21"/>
      <c r="M14" s="21">
        <f t="shared" si="0"/>
        <v>9806.8487917402908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0.17374428883559156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4.5832776970222238</v>
      </c>
      <c r="C18" s="23"/>
      <c r="D18" s="23">
        <f t="shared" ref="D18:M18" si="1">D14*D16</f>
        <v>13.921569653309131</v>
      </c>
      <c r="E18" s="23">
        <f t="shared" si="1"/>
        <v>109.80328402331862</v>
      </c>
      <c r="F18" s="23"/>
      <c r="G18" s="23">
        <f t="shared" si="1"/>
        <v>41496.217510119983</v>
      </c>
      <c r="H18" s="23">
        <f t="shared" si="1"/>
        <v>6606.1463098568938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7.775561302732872E-3</v>
      </c>
      <c r="H50" s="321">
        <f t="shared" si="2"/>
        <v>0</v>
      </c>
      <c r="I50" s="321">
        <f t="shared" si="2"/>
        <v>0</v>
      </c>
      <c r="J50" s="321">
        <f t="shared" si="2"/>
        <v>0</v>
      </c>
      <c r="K50" s="321">
        <f t="shared" si="2"/>
        <v>0</v>
      </c>
      <c r="L50" s="321">
        <f t="shared" si="2"/>
        <v>0</v>
      </c>
      <c r="M50" s="321">
        <f t="shared" si="2"/>
        <v>4.4341759410919341E-4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7.775561302732872E-3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4.4341759410919341E-4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2159.8781396480199</v>
      </c>
      <c r="H54" s="21">
        <f t="shared" si="3"/>
        <v>0</v>
      </c>
      <c r="I54" s="21">
        <f t="shared" si="3"/>
        <v>0</v>
      </c>
      <c r="J54" s="21">
        <f t="shared" si="3"/>
        <v>0</v>
      </c>
      <c r="K54" s="21">
        <f t="shared" si="3"/>
        <v>0</v>
      </c>
      <c r="L54" s="21">
        <f t="shared" si="3"/>
        <v>0</v>
      </c>
      <c r="M54" s="21">
        <f t="shared" si="3"/>
        <v>123.1715539192204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0.17374428883559156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576.6874632860214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8058.9268886539867</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11594.038057569069</v>
      </c>
      <c r="C6" s="1216"/>
      <c r="D6" s="1201"/>
      <c r="E6" s="1201"/>
      <c r="F6" s="1219"/>
      <c r="G6" s="1222"/>
      <c r="H6" s="1213"/>
      <c r="I6" s="1201"/>
      <c r="J6" s="1201"/>
      <c r="K6" s="1201"/>
      <c r="L6" s="1205"/>
      <c r="M6" s="576"/>
      <c r="N6" s="1179"/>
      <c r="O6" s="1180"/>
      <c r="Q6" s="574"/>
      <c r="R6" s="1167"/>
      <c r="S6" s="1167"/>
    </row>
    <row r="7" spans="1:19" s="564" customFormat="1">
      <c r="A7" s="577" t="s">
        <v>252</v>
      </c>
      <c r="B7" s="578">
        <f>N57</f>
        <v>14094</v>
      </c>
      <c r="C7" s="579">
        <f>B100</f>
        <v>0</v>
      </c>
      <c r="D7" s="580"/>
      <c r="E7" s="580">
        <f>E100</f>
        <v>0</v>
      </c>
      <c r="F7" s="581"/>
      <c r="G7" s="582"/>
      <c r="H7" s="580">
        <f>I100</f>
        <v>0</v>
      </c>
      <c r="I7" s="580">
        <f>G100+F100</f>
        <v>0</v>
      </c>
      <c r="J7" s="580">
        <f>H100+D100+C100</f>
        <v>16581.176470588238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33746.964946223059</v>
      </c>
      <c r="C9" s="595">
        <f t="shared" ref="C9:L9" si="0">SUM(C7:C8)</f>
        <v>0</v>
      </c>
      <c r="D9" s="595">
        <f t="shared" si="0"/>
        <v>0</v>
      </c>
      <c r="E9" s="595">
        <f t="shared" si="0"/>
        <v>0</v>
      </c>
      <c r="F9" s="595">
        <f t="shared" si="0"/>
        <v>0</v>
      </c>
      <c r="G9" s="595">
        <f t="shared" si="0"/>
        <v>0</v>
      </c>
      <c r="H9" s="595">
        <f t="shared" si="0"/>
        <v>0</v>
      </c>
      <c r="I9" s="595">
        <f t="shared" si="0"/>
        <v>0</v>
      </c>
      <c r="J9" s="595">
        <f t="shared" si="0"/>
        <v>16581.176470588238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20134.285714285714</v>
      </c>
      <c r="C16" s="611">
        <f>B101</f>
        <v>0</v>
      </c>
      <c r="D16" s="612"/>
      <c r="E16" s="612">
        <f>E101</f>
        <v>0</v>
      </c>
      <c r="F16" s="613"/>
      <c r="G16" s="614"/>
      <c r="H16" s="611">
        <f>I101</f>
        <v>0</v>
      </c>
      <c r="I16" s="612">
        <f>G101+F101</f>
        <v>0</v>
      </c>
      <c r="J16" s="612">
        <f>H101+D101+C101</f>
        <v>23687.394957983193</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20134.285714285714</v>
      </c>
      <c r="C19" s="594">
        <f>SUM(C16:C18)</f>
        <v>0</v>
      </c>
      <c r="D19" s="594">
        <f t="shared" ref="D19:M19" si="1">SUM(D16:D18)</f>
        <v>0</v>
      </c>
      <c r="E19" s="594">
        <f t="shared" si="1"/>
        <v>0</v>
      </c>
      <c r="F19" s="594">
        <f t="shared" si="1"/>
        <v>0</v>
      </c>
      <c r="G19" s="594">
        <f t="shared" si="1"/>
        <v>0</v>
      </c>
      <c r="H19" s="594">
        <f t="shared" si="1"/>
        <v>0</v>
      </c>
      <c r="I19" s="594">
        <f t="shared" si="1"/>
        <v>0</v>
      </c>
      <c r="J19" s="594">
        <f t="shared" si="1"/>
        <v>23687.394957983193</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34027</v>
      </c>
      <c r="C27" s="852">
        <v>8930</v>
      </c>
      <c r="D27" s="673" t="s">
        <v>834</v>
      </c>
      <c r="E27" s="672" t="s">
        <v>835</v>
      </c>
      <c r="F27" s="672" t="s">
        <v>836</v>
      </c>
      <c r="G27" s="672" t="s">
        <v>837</v>
      </c>
      <c r="H27" s="672" t="s">
        <v>838</v>
      </c>
      <c r="I27" s="672" t="s">
        <v>839</v>
      </c>
      <c r="J27" s="851">
        <v>41613</v>
      </c>
      <c r="K27" s="851">
        <v>41613</v>
      </c>
      <c r="L27" s="672" t="s">
        <v>840</v>
      </c>
      <c r="M27" s="672">
        <v>3132</v>
      </c>
      <c r="N27" s="672">
        <v>14094</v>
      </c>
      <c r="O27" s="672">
        <v>20134.285714285714</v>
      </c>
      <c r="P27" s="672">
        <v>0</v>
      </c>
      <c r="Q27" s="672">
        <v>40268.571428571428</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3132</v>
      </c>
      <c r="N57" s="630">
        <f>SUM(N27:N56)</f>
        <v>14094</v>
      </c>
      <c r="O57" s="630">
        <f t="shared" ref="O57:W57" si="2">SUM(O27:O56)</f>
        <v>20134.285714285714</v>
      </c>
      <c r="P57" s="630">
        <f t="shared" si="2"/>
        <v>0</v>
      </c>
      <c r="Q57" s="630">
        <f t="shared" si="2"/>
        <v>40268.571428571428</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3132</v>
      </c>
      <c r="N59" s="630">
        <f ca="1">SUMIF($Z$27:AB56,"tertiair",N27:N56)</f>
        <v>14094</v>
      </c>
      <c r="O59" s="630">
        <f ca="1">SUMIF($Z$27:AC56,"tertiair",O27:O56)</f>
        <v>20134.285714285714</v>
      </c>
      <c r="P59" s="630">
        <f ca="1">SUMIF($Z$27:AD56,"tertiair",P27:P56)</f>
        <v>0</v>
      </c>
      <c r="Q59" s="630">
        <f ca="1">SUMIF($Z$27:AE56,"tertiair",Q27:Q56)</f>
        <v>40268.571428571428</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16581.176470588238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23687.394957983193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66304.947000000015</v>
      </c>
      <c r="D10" s="719">
        <f ca="1">tertiair!C16</f>
        <v>20134.285714285714</v>
      </c>
      <c r="E10" s="719">
        <f ca="1">tertiair!D16</f>
        <v>47421.53112889819</v>
      </c>
      <c r="F10" s="719">
        <f>tertiair!E16</f>
        <v>413.51239829529061</v>
      </c>
      <c r="G10" s="719">
        <f ca="1">tertiair!F16</f>
        <v>7087.4743135035787</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38.133333333333333</v>
      </c>
      <c r="R10" s="722">
        <f ca="1">SUM(C10:Q10)</f>
        <v>141404.57388831611</v>
      </c>
      <c r="S10" s="67"/>
    </row>
    <row r="11" spans="1:19" s="475" customFormat="1">
      <c r="A11" s="871" t="s">
        <v>225</v>
      </c>
      <c r="B11" s="876"/>
      <c r="C11" s="719">
        <f>huishoudens!B8</f>
        <v>50079.659080765319</v>
      </c>
      <c r="D11" s="719">
        <f>huishoudens!C8</f>
        <v>0</v>
      </c>
      <c r="E11" s="719">
        <f>huishoudens!D8</f>
        <v>139004.09259160823</v>
      </c>
      <c r="F11" s="719">
        <f>huishoudens!E8</f>
        <v>2573.9485223804049</v>
      </c>
      <c r="G11" s="719">
        <f>huishoudens!F8</f>
        <v>0</v>
      </c>
      <c r="H11" s="719">
        <f>huishoudens!G8</f>
        <v>0</v>
      </c>
      <c r="I11" s="719">
        <f>huishoudens!H8</f>
        <v>0</v>
      </c>
      <c r="J11" s="719">
        <f>huishoudens!I8</f>
        <v>0</v>
      </c>
      <c r="K11" s="719">
        <f>huishoudens!J8</f>
        <v>7748.8814926369705</v>
      </c>
      <c r="L11" s="719">
        <f>huishoudens!K8</f>
        <v>0</v>
      </c>
      <c r="M11" s="719">
        <f>huishoudens!L8</f>
        <v>0</v>
      </c>
      <c r="N11" s="719">
        <f>huishoudens!M8</f>
        <v>0</v>
      </c>
      <c r="O11" s="719">
        <f>huishoudens!N8</f>
        <v>15455.049432190304</v>
      </c>
      <c r="P11" s="719">
        <f>huishoudens!O8</f>
        <v>314.23</v>
      </c>
      <c r="Q11" s="720">
        <f>huishoudens!P8</f>
        <v>305.06666666666666</v>
      </c>
      <c r="R11" s="722">
        <f>SUM(C11:Q11)</f>
        <v>215480.92778624795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40325.124169999996</v>
      </c>
      <c r="D13" s="719">
        <f>industrie!C18</f>
        <v>0</v>
      </c>
      <c r="E13" s="719">
        <f>industrie!D18</f>
        <v>51986.685750519217</v>
      </c>
      <c r="F13" s="719">
        <f>industrie!E18</f>
        <v>4438.5743059715223</v>
      </c>
      <c r="G13" s="719">
        <f>industrie!F18</f>
        <v>23363.821897508453</v>
      </c>
      <c r="H13" s="719">
        <f>industrie!G18</f>
        <v>0</v>
      </c>
      <c r="I13" s="719">
        <f>industrie!H18</f>
        <v>0</v>
      </c>
      <c r="J13" s="719">
        <f>industrie!I18</f>
        <v>0</v>
      </c>
      <c r="K13" s="719">
        <f>industrie!J18</f>
        <v>203.48581899110923</v>
      </c>
      <c r="L13" s="719">
        <f>industrie!K18</f>
        <v>0</v>
      </c>
      <c r="M13" s="719">
        <f>industrie!L18</f>
        <v>0</v>
      </c>
      <c r="N13" s="719">
        <f>industrie!M18</f>
        <v>0</v>
      </c>
      <c r="O13" s="719">
        <f>industrie!N18</f>
        <v>10446.719451633375</v>
      </c>
      <c r="P13" s="719">
        <f>industrie!O18</f>
        <v>0</v>
      </c>
      <c r="Q13" s="720">
        <f>industrie!P18</f>
        <v>0</v>
      </c>
      <c r="R13" s="722">
        <f>SUM(C13:Q13)</f>
        <v>130764.41139462365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156709.73025076534</v>
      </c>
      <c r="D15" s="724">
        <f t="shared" ref="D15:Q15" ca="1" si="0">SUM(D9:D14)</f>
        <v>20134.285714285714</v>
      </c>
      <c r="E15" s="724">
        <f t="shared" ca="1" si="0"/>
        <v>238412.30947102566</v>
      </c>
      <c r="F15" s="724">
        <f t="shared" si="0"/>
        <v>7426.0352266472182</v>
      </c>
      <c r="G15" s="724">
        <f t="shared" ca="1" si="0"/>
        <v>30451.296211012032</v>
      </c>
      <c r="H15" s="724">
        <f t="shared" si="0"/>
        <v>0</v>
      </c>
      <c r="I15" s="724">
        <f t="shared" si="0"/>
        <v>0</v>
      </c>
      <c r="J15" s="724">
        <f t="shared" si="0"/>
        <v>0</v>
      </c>
      <c r="K15" s="724">
        <f t="shared" si="0"/>
        <v>7952.3673116280797</v>
      </c>
      <c r="L15" s="724">
        <f t="shared" si="0"/>
        <v>0</v>
      </c>
      <c r="M15" s="724">
        <f t="shared" ca="1" si="0"/>
        <v>0</v>
      </c>
      <c r="N15" s="724">
        <f t="shared" si="0"/>
        <v>0</v>
      </c>
      <c r="O15" s="724">
        <f t="shared" ca="1" si="0"/>
        <v>25901.768883823679</v>
      </c>
      <c r="P15" s="724">
        <f t="shared" si="0"/>
        <v>318.92</v>
      </c>
      <c r="Q15" s="725">
        <f t="shared" si="0"/>
        <v>343.2</v>
      </c>
      <c r="R15" s="726">
        <f ca="1">SUM(R9:R14)</f>
        <v>487649.91306918772</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2159.8781396480199</v>
      </c>
      <c r="I18" s="719">
        <f>transport!H54</f>
        <v>0</v>
      </c>
      <c r="J18" s="719">
        <f>transport!I54</f>
        <v>0</v>
      </c>
      <c r="K18" s="719">
        <f>transport!J54</f>
        <v>0</v>
      </c>
      <c r="L18" s="719">
        <f>transport!K54</f>
        <v>0</v>
      </c>
      <c r="M18" s="719">
        <f>transport!L54</f>
        <v>0</v>
      </c>
      <c r="N18" s="719">
        <f>transport!M54</f>
        <v>123.1715539192204</v>
      </c>
      <c r="O18" s="719">
        <f>transport!N54</f>
        <v>0</v>
      </c>
      <c r="P18" s="719">
        <f>transport!O54</f>
        <v>0</v>
      </c>
      <c r="Q18" s="720">
        <f>transport!P54</f>
        <v>0</v>
      </c>
      <c r="R18" s="722">
        <f>SUM(C18:Q18)</f>
        <v>2283.0496935672404</v>
      </c>
      <c r="S18" s="67"/>
    </row>
    <row r="19" spans="1:19" s="475" customFormat="1" ht="15" thickBot="1">
      <c r="A19" s="871" t="s">
        <v>307</v>
      </c>
      <c r="B19" s="876"/>
      <c r="C19" s="728">
        <f>transport!B14</f>
        <v>26.379443766115543</v>
      </c>
      <c r="D19" s="728">
        <f>transport!C14</f>
        <v>0</v>
      </c>
      <c r="E19" s="728">
        <f>transport!D14</f>
        <v>68.918661650045195</v>
      </c>
      <c r="F19" s="728">
        <f>transport!E14</f>
        <v>483.71490759171201</v>
      </c>
      <c r="G19" s="728">
        <f>transport!F14</f>
        <v>0</v>
      </c>
      <c r="H19" s="728">
        <f>transport!G14</f>
        <v>155416.54498172278</v>
      </c>
      <c r="I19" s="728">
        <f>transport!H14</f>
        <v>26530.708071714434</v>
      </c>
      <c r="J19" s="728">
        <f>transport!I14</f>
        <v>0</v>
      </c>
      <c r="K19" s="728">
        <f>transport!J14</f>
        <v>0</v>
      </c>
      <c r="L19" s="728">
        <f>transport!K14</f>
        <v>0</v>
      </c>
      <c r="M19" s="728">
        <f>transport!L14</f>
        <v>0</v>
      </c>
      <c r="N19" s="728">
        <f>transport!M14</f>
        <v>9806.8487917402908</v>
      </c>
      <c r="O19" s="728">
        <f>transport!N14</f>
        <v>0</v>
      </c>
      <c r="P19" s="728">
        <f>transport!O14</f>
        <v>0</v>
      </c>
      <c r="Q19" s="729">
        <f>transport!P14</f>
        <v>0</v>
      </c>
      <c r="R19" s="730">
        <f>SUM(C19:Q19)</f>
        <v>192333.11485818538</v>
      </c>
      <c r="S19" s="67"/>
    </row>
    <row r="20" spans="1:19" s="475" customFormat="1" ht="15.75" thickBot="1">
      <c r="A20" s="731" t="s">
        <v>230</v>
      </c>
      <c r="B20" s="879"/>
      <c r="C20" s="874">
        <f>SUM(C17:C19)</f>
        <v>26.379443766115543</v>
      </c>
      <c r="D20" s="732">
        <f t="shared" ref="D20:R20" si="1">SUM(D17:D19)</f>
        <v>0</v>
      </c>
      <c r="E20" s="732">
        <f t="shared" si="1"/>
        <v>68.918661650045195</v>
      </c>
      <c r="F20" s="732">
        <f t="shared" si="1"/>
        <v>483.71490759171201</v>
      </c>
      <c r="G20" s="732">
        <f t="shared" si="1"/>
        <v>0</v>
      </c>
      <c r="H20" s="732">
        <f t="shared" si="1"/>
        <v>157576.42312137081</v>
      </c>
      <c r="I20" s="732">
        <f t="shared" si="1"/>
        <v>26530.708071714434</v>
      </c>
      <c r="J20" s="732">
        <f t="shared" si="1"/>
        <v>0</v>
      </c>
      <c r="K20" s="732">
        <f t="shared" si="1"/>
        <v>0</v>
      </c>
      <c r="L20" s="732">
        <f t="shared" si="1"/>
        <v>0</v>
      </c>
      <c r="M20" s="732">
        <f t="shared" si="1"/>
        <v>0</v>
      </c>
      <c r="N20" s="732">
        <f t="shared" si="1"/>
        <v>9930.0203456595118</v>
      </c>
      <c r="O20" s="732">
        <f t="shared" si="1"/>
        <v>0</v>
      </c>
      <c r="P20" s="732">
        <f t="shared" si="1"/>
        <v>0</v>
      </c>
      <c r="Q20" s="733">
        <f t="shared" si="1"/>
        <v>0</v>
      </c>
      <c r="R20" s="734">
        <f t="shared" si="1"/>
        <v>194616.16455175262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1087.7611000000002</v>
      </c>
      <c r="D22" s="728">
        <f>+landbouw!C8</f>
        <v>0</v>
      </c>
      <c r="E22" s="728">
        <f>+landbouw!D8</f>
        <v>4488.8143888736422</v>
      </c>
      <c r="F22" s="728">
        <f>+landbouw!E8</f>
        <v>10.075298904427962</v>
      </c>
      <c r="G22" s="728">
        <f>+landbouw!F8</f>
        <v>2759.8571289768988</v>
      </c>
      <c r="H22" s="728">
        <f>+landbouw!G8</f>
        <v>0</v>
      </c>
      <c r="I22" s="728">
        <f>+landbouw!H8</f>
        <v>0</v>
      </c>
      <c r="J22" s="728">
        <f>+landbouw!I8</f>
        <v>0</v>
      </c>
      <c r="K22" s="728">
        <f>+landbouw!J8</f>
        <v>166.76591607930615</v>
      </c>
      <c r="L22" s="728">
        <f>+landbouw!K8</f>
        <v>0</v>
      </c>
      <c r="M22" s="728">
        <f>+landbouw!L8</f>
        <v>0</v>
      </c>
      <c r="N22" s="728">
        <f>+landbouw!M8</f>
        <v>0</v>
      </c>
      <c r="O22" s="728">
        <f>+landbouw!N8</f>
        <v>0</v>
      </c>
      <c r="P22" s="728">
        <f>+landbouw!O8</f>
        <v>0</v>
      </c>
      <c r="Q22" s="729">
        <f>+landbouw!P8</f>
        <v>0</v>
      </c>
      <c r="R22" s="730">
        <f>SUM(C22:Q22)</f>
        <v>8513.2738328342766</v>
      </c>
      <c r="S22" s="67"/>
    </row>
    <row r="23" spans="1:19" s="475" customFormat="1" ht="17.25" thickTop="1" thickBot="1">
      <c r="A23" s="735" t="s">
        <v>116</v>
      </c>
      <c r="B23" s="865"/>
      <c r="C23" s="736">
        <f ca="1">C20+C15+C22</f>
        <v>157823.87079453145</v>
      </c>
      <c r="D23" s="736">
        <f t="shared" ref="D23:Q23" ca="1" si="2">D20+D15+D22</f>
        <v>20134.285714285714</v>
      </c>
      <c r="E23" s="736">
        <f t="shared" ca="1" si="2"/>
        <v>242970.04252154933</v>
      </c>
      <c r="F23" s="736">
        <f t="shared" si="2"/>
        <v>7919.8254331433582</v>
      </c>
      <c r="G23" s="736">
        <f t="shared" ca="1" si="2"/>
        <v>33211.15333998893</v>
      </c>
      <c r="H23" s="736">
        <f t="shared" si="2"/>
        <v>157576.42312137081</v>
      </c>
      <c r="I23" s="736">
        <f t="shared" si="2"/>
        <v>26530.708071714434</v>
      </c>
      <c r="J23" s="736">
        <f t="shared" si="2"/>
        <v>0</v>
      </c>
      <c r="K23" s="736">
        <f t="shared" si="2"/>
        <v>8119.1332277073861</v>
      </c>
      <c r="L23" s="736">
        <f t="shared" si="2"/>
        <v>0</v>
      </c>
      <c r="M23" s="736">
        <f t="shared" ca="1" si="2"/>
        <v>0</v>
      </c>
      <c r="N23" s="736">
        <f t="shared" si="2"/>
        <v>9930.0203456595118</v>
      </c>
      <c r="O23" s="736">
        <f t="shared" ca="1" si="2"/>
        <v>25901.768883823679</v>
      </c>
      <c r="P23" s="736">
        <f t="shared" si="2"/>
        <v>318.92</v>
      </c>
      <c r="Q23" s="737">
        <f t="shared" si="2"/>
        <v>343.2</v>
      </c>
      <c r="R23" s="738">
        <f ca="1">R20+R15+R22</f>
        <v>690779.35145377461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11520.10586279659</v>
      </c>
      <c r="D36" s="719">
        <f ca="1">tertiair!C20</f>
        <v>0</v>
      </c>
      <c r="E36" s="719">
        <f ca="1">tertiair!D20</f>
        <v>9579.1492880374353</v>
      </c>
      <c r="F36" s="719">
        <f>tertiair!E20</f>
        <v>93.867314413030968</v>
      </c>
      <c r="G36" s="719">
        <f ca="1">tertiair!F20</f>
        <v>1892.3556417054556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23085.478106952512</v>
      </c>
    </row>
    <row r="37" spans="1:18">
      <c r="A37" s="886" t="s">
        <v>225</v>
      </c>
      <c r="B37" s="893"/>
      <c r="C37" s="719">
        <f ca="1">huishoudens!B12</f>
        <v>8701.0547521164463</v>
      </c>
      <c r="D37" s="719">
        <f ca="1">huishoudens!C12</f>
        <v>0</v>
      </c>
      <c r="E37" s="719">
        <f>huishoudens!D12</f>
        <v>28078.826703504867</v>
      </c>
      <c r="F37" s="719">
        <f>huishoudens!E12</f>
        <v>584.28631458035193</v>
      </c>
      <c r="G37" s="719">
        <f>huishoudens!F12</f>
        <v>0</v>
      </c>
      <c r="H37" s="719">
        <f>huishoudens!G12</f>
        <v>0</v>
      </c>
      <c r="I37" s="719">
        <f>huishoudens!H12</f>
        <v>0</v>
      </c>
      <c r="J37" s="719">
        <f>huishoudens!I12</f>
        <v>0</v>
      </c>
      <c r="K37" s="719">
        <f>huishoudens!J12</f>
        <v>2743.1040483934876</v>
      </c>
      <c r="L37" s="719">
        <f>huishoudens!K12</f>
        <v>0</v>
      </c>
      <c r="M37" s="719">
        <f>huishoudens!L12</f>
        <v>0</v>
      </c>
      <c r="N37" s="719">
        <f>huishoudens!M12</f>
        <v>0</v>
      </c>
      <c r="O37" s="719">
        <f>huishoudens!N12</f>
        <v>0</v>
      </c>
      <c r="P37" s="719">
        <f>huishoudens!O12</f>
        <v>0</v>
      </c>
      <c r="Q37" s="829">
        <f>huishoudens!P12</f>
        <v>0</v>
      </c>
      <c r="R37" s="918">
        <f ca="1">SUM(C37:Q37)</f>
        <v>40107.271818595145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7006.260021123574</v>
      </c>
      <c r="D39" s="719">
        <f ca="1">industrie!C22</f>
        <v>0</v>
      </c>
      <c r="E39" s="719">
        <f>industrie!D22</f>
        <v>10501.310521604883</v>
      </c>
      <c r="F39" s="719">
        <f>industrie!E22</f>
        <v>1007.5563674555356</v>
      </c>
      <c r="G39" s="719">
        <f>industrie!F22</f>
        <v>6238.1404466347576</v>
      </c>
      <c r="H39" s="719">
        <f>industrie!G22</f>
        <v>0</v>
      </c>
      <c r="I39" s="719">
        <f>industrie!H22</f>
        <v>0</v>
      </c>
      <c r="J39" s="719">
        <f>industrie!I22</f>
        <v>0</v>
      </c>
      <c r="K39" s="719">
        <f>industrie!J22</f>
        <v>72.033979922852666</v>
      </c>
      <c r="L39" s="719">
        <f>industrie!K22</f>
        <v>0</v>
      </c>
      <c r="M39" s="719">
        <f>industrie!L22</f>
        <v>0</v>
      </c>
      <c r="N39" s="719">
        <f>industrie!M22</f>
        <v>0</v>
      </c>
      <c r="O39" s="719">
        <f>industrie!N22</f>
        <v>0</v>
      </c>
      <c r="P39" s="719">
        <f>industrie!O22</f>
        <v>0</v>
      </c>
      <c r="Q39" s="829">
        <f>industrie!P22</f>
        <v>0</v>
      </c>
      <c r="R39" s="919">
        <f ca="1">SUM(C39:Q39)</f>
        <v>24825.301336741599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27227.420636036612</v>
      </c>
      <c r="D41" s="764">
        <f t="shared" ref="D41:R41" ca="1" si="4">SUM(D35:D40)</f>
        <v>0</v>
      </c>
      <c r="E41" s="764">
        <f t="shared" ca="1" si="4"/>
        <v>48159.286513147192</v>
      </c>
      <c r="F41" s="764">
        <f t="shared" si="4"/>
        <v>1685.7099964489184</v>
      </c>
      <c r="G41" s="764">
        <f t="shared" ca="1" si="4"/>
        <v>8130.4960883402127</v>
      </c>
      <c r="H41" s="764">
        <f t="shared" si="4"/>
        <v>0</v>
      </c>
      <c r="I41" s="764">
        <f t="shared" si="4"/>
        <v>0</v>
      </c>
      <c r="J41" s="764">
        <f t="shared" si="4"/>
        <v>0</v>
      </c>
      <c r="K41" s="764">
        <f t="shared" si="4"/>
        <v>2815.1380283163403</v>
      </c>
      <c r="L41" s="764">
        <f t="shared" si="4"/>
        <v>0</v>
      </c>
      <c r="M41" s="764">
        <f t="shared" ca="1" si="4"/>
        <v>0</v>
      </c>
      <c r="N41" s="764">
        <f t="shared" si="4"/>
        <v>0</v>
      </c>
      <c r="O41" s="764">
        <f t="shared" ca="1" si="4"/>
        <v>0</v>
      </c>
      <c r="P41" s="764">
        <f t="shared" si="4"/>
        <v>0</v>
      </c>
      <c r="Q41" s="765">
        <f t="shared" si="4"/>
        <v>0</v>
      </c>
      <c r="R41" s="766">
        <f t="shared" ca="1" si="4"/>
        <v>88018.051262289257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576.6874632860214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576.6874632860214</v>
      </c>
    </row>
    <row r="45" spans="1:18" ht="15" thickBot="1">
      <c r="A45" s="889" t="s">
        <v>307</v>
      </c>
      <c r="B45" s="899"/>
      <c r="C45" s="728">
        <f ca="1">transport!B18</f>
        <v>4.5832776970222238</v>
      </c>
      <c r="D45" s="728">
        <f>transport!C18</f>
        <v>0</v>
      </c>
      <c r="E45" s="728">
        <f>transport!D18</f>
        <v>13.921569653309131</v>
      </c>
      <c r="F45" s="728">
        <f>transport!E18</f>
        <v>109.80328402331862</v>
      </c>
      <c r="G45" s="728">
        <f>transport!F18</f>
        <v>0</v>
      </c>
      <c r="H45" s="728">
        <f>transport!G18</f>
        <v>41496.217510119983</v>
      </c>
      <c r="I45" s="728">
        <f>transport!H18</f>
        <v>6606.1463098568938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48230.671951350523</v>
      </c>
    </row>
    <row r="46" spans="1:18" ht="15.75" thickBot="1">
      <c r="A46" s="887" t="s">
        <v>230</v>
      </c>
      <c r="B46" s="900"/>
      <c r="C46" s="764">
        <f t="shared" ref="C46:R46" ca="1" si="5">SUM(C43:C45)</f>
        <v>4.5832776970222238</v>
      </c>
      <c r="D46" s="764">
        <f t="shared" ca="1" si="5"/>
        <v>0</v>
      </c>
      <c r="E46" s="764">
        <f t="shared" si="5"/>
        <v>13.921569653309131</v>
      </c>
      <c r="F46" s="764">
        <f t="shared" si="5"/>
        <v>109.80328402331862</v>
      </c>
      <c r="G46" s="764">
        <f t="shared" si="5"/>
        <v>0</v>
      </c>
      <c r="H46" s="764">
        <f t="shared" si="5"/>
        <v>42072.904973406003</v>
      </c>
      <c r="I46" s="764">
        <f t="shared" si="5"/>
        <v>6606.1463098568938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48807.359414636543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188.99227874252082</v>
      </c>
      <c r="D48" s="719">
        <f ca="1">+landbouw!C12</f>
        <v>0</v>
      </c>
      <c r="E48" s="719">
        <f>+landbouw!D12</f>
        <v>906.74050655247584</v>
      </c>
      <c r="F48" s="719">
        <f>+landbouw!E12</f>
        <v>2.2870928513051476</v>
      </c>
      <c r="G48" s="719">
        <f>+landbouw!F12</f>
        <v>736.88185343683199</v>
      </c>
      <c r="H48" s="719">
        <f>+landbouw!G12</f>
        <v>0</v>
      </c>
      <c r="I48" s="719">
        <f>+landbouw!H12</f>
        <v>0</v>
      </c>
      <c r="J48" s="719">
        <f>+landbouw!I12</f>
        <v>0</v>
      </c>
      <c r="K48" s="719">
        <f>+landbouw!J12</f>
        <v>59.035134292074375</v>
      </c>
      <c r="L48" s="719">
        <f>+landbouw!K12</f>
        <v>0</v>
      </c>
      <c r="M48" s="719">
        <f>+landbouw!L12</f>
        <v>0</v>
      </c>
      <c r="N48" s="719">
        <f>+landbouw!M12</f>
        <v>0</v>
      </c>
      <c r="O48" s="719">
        <f>+landbouw!N12</f>
        <v>0</v>
      </c>
      <c r="P48" s="719">
        <f>+landbouw!O12</f>
        <v>0</v>
      </c>
      <c r="Q48" s="720">
        <f>+landbouw!P12</f>
        <v>0</v>
      </c>
      <c r="R48" s="762">
        <f ca="1">SUM(C48:Q48)</f>
        <v>1893.9368658752082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27420.996192476156</v>
      </c>
      <c r="D53" s="774">
        <f t="shared" ref="D53:Q53" ca="1" si="6">D41+D46+D48</f>
        <v>0</v>
      </c>
      <c r="E53" s="774">
        <f t="shared" ca="1" si="6"/>
        <v>49079.948589352971</v>
      </c>
      <c r="F53" s="774">
        <f t="shared" si="6"/>
        <v>1797.8003733235423</v>
      </c>
      <c r="G53" s="774">
        <f t="shared" ca="1" si="6"/>
        <v>8867.3779417770456</v>
      </c>
      <c r="H53" s="774">
        <f t="shared" si="6"/>
        <v>42072.904973406003</v>
      </c>
      <c r="I53" s="774">
        <f t="shared" si="6"/>
        <v>6606.1463098568938</v>
      </c>
      <c r="J53" s="774">
        <f t="shared" si="6"/>
        <v>0</v>
      </c>
      <c r="K53" s="774">
        <f t="shared" si="6"/>
        <v>2874.1731626084147</v>
      </c>
      <c r="L53" s="774">
        <f t="shared" si="6"/>
        <v>0</v>
      </c>
      <c r="M53" s="774">
        <f t="shared" ca="1" si="6"/>
        <v>0</v>
      </c>
      <c r="N53" s="774">
        <f t="shared" si="6"/>
        <v>0</v>
      </c>
      <c r="O53" s="774">
        <f t="shared" ca="1" si="6"/>
        <v>0</v>
      </c>
      <c r="P53" s="774">
        <f>P41+P46+P48</f>
        <v>0</v>
      </c>
      <c r="Q53" s="775">
        <f t="shared" si="6"/>
        <v>0</v>
      </c>
      <c r="R53" s="776">
        <f ca="1">R41+R46+R48</f>
        <v>138719.347542801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0.17374428883559156</v>
      </c>
      <c r="D55" s="837">
        <f t="shared" ca="1" si="7"/>
        <v>0</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8058.9268886539867</v>
      </c>
      <c r="C64" s="796">
        <f>'lokale energieproductie'!B4</f>
        <v>8058.9268886539867</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11594.038057569069</v>
      </c>
      <c r="C66" s="796">
        <f>'lokale energieproductie'!B6</f>
        <v>11594.038057569069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14094</v>
      </c>
      <c r="C67" s="795">
        <f>B67*IFERROR(SUM(J67:L67)/SUM(D67:M67),0)</f>
        <v>14094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16581.176470588238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33746.964946223059</v>
      </c>
      <c r="C69" s="804">
        <f>SUM(C64:C68)</f>
        <v>33746.964946223059</v>
      </c>
      <c r="D69" s="805">
        <f t="shared" ref="D69:M69" si="8">SUM(D67:D68)</f>
        <v>0</v>
      </c>
      <c r="E69" s="805">
        <f t="shared" si="8"/>
        <v>0</v>
      </c>
      <c r="F69" s="805">
        <f t="shared" si="8"/>
        <v>0</v>
      </c>
      <c r="G69" s="805">
        <f t="shared" si="8"/>
        <v>0</v>
      </c>
      <c r="H69" s="805">
        <f t="shared" si="8"/>
        <v>0</v>
      </c>
      <c r="I69" s="805">
        <f t="shared" si="8"/>
        <v>0</v>
      </c>
      <c r="J69" s="805">
        <f t="shared" si="8"/>
        <v>0</v>
      </c>
      <c r="K69" s="805">
        <f t="shared" si="8"/>
        <v>16581.176470588238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20134.285714285714</v>
      </c>
      <c r="C78" s="818">
        <f>B78*IFERROR(SUM(I78:L78)/SUM(D78:M78),0)</f>
        <v>20134.285714285714</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23687.394957983193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20134.285714285714</v>
      </c>
      <c r="C81" s="804">
        <f>SUM(C78:C80)</f>
        <v>20134.285714285714</v>
      </c>
      <c r="D81" s="804">
        <f t="shared" ref="D81:P81" si="9">SUM(D78:D80)</f>
        <v>0</v>
      </c>
      <c r="E81" s="804">
        <f t="shared" si="9"/>
        <v>0</v>
      </c>
      <c r="F81" s="804">
        <f t="shared" si="9"/>
        <v>0</v>
      </c>
      <c r="G81" s="804">
        <f t="shared" si="9"/>
        <v>0</v>
      </c>
      <c r="H81" s="804">
        <f t="shared" si="9"/>
        <v>0</v>
      </c>
      <c r="I81" s="804">
        <f t="shared" si="9"/>
        <v>0</v>
      </c>
      <c r="J81" s="804">
        <f t="shared" si="9"/>
        <v>0</v>
      </c>
      <c r="K81" s="804">
        <f t="shared" si="9"/>
        <v>23687.394957983193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50079.659080765319</v>
      </c>
      <c r="C4" s="479">
        <f>huishoudens!C8</f>
        <v>0</v>
      </c>
      <c r="D4" s="479">
        <f>huishoudens!D8</f>
        <v>139004.09259160823</v>
      </c>
      <c r="E4" s="479">
        <f>huishoudens!E8</f>
        <v>2573.9485223804049</v>
      </c>
      <c r="F4" s="479">
        <f>huishoudens!F8</f>
        <v>0</v>
      </c>
      <c r="G4" s="479">
        <f>huishoudens!G8</f>
        <v>0</v>
      </c>
      <c r="H4" s="479">
        <f>huishoudens!H8</f>
        <v>0</v>
      </c>
      <c r="I4" s="479">
        <f>huishoudens!I8</f>
        <v>0</v>
      </c>
      <c r="J4" s="479">
        <f>huishoudens!J8</f>
        <v>7748.8814926369705</v>
      </c>
      <c r="K4" s="479">
        <f>huishoudens!K8</f>
        <v>0</v>
      </c>
      <c r="L4" s="479">
        <f>huishoudens!L8</f>
        <v>0</v>
      </c>
      <c r="M4" s="479">
        <f>huishoudens!M8</f>
        <v>0</v>
      </c>
      <c r="N4" s="479">
        <f>huishoudens!N8</f>
        <v>15455.049432190304</v>
      </c>
      <c r="O4" s="479">
        <f>huishoudens!O8</f>
        <v>314.23</v>
      </c>
      <c r="P4" s="480">
        <f>huishoudens!P8</f>
        <v>305.06666666666666</v>
      </c>
      <c r="Q4" s="481">
        <f>SUM(B4:P4)</f>
        <v>215480.92778624795</v>
      </c>
    </row>
    <row r="5" spans="1:17">
      <c r="A5" s="478" t="s">
        <v>156</v>
      </c>
      <c r="B5" s="479">
        <f ca="1">tertiair!B16</f>
        <v>63616.093000000008</v>
      </c>
      <c r="C5" s="479">
        <f ca="1">tertiair!C16</f>
        <v>20134.285714285714</v>
      </c>
      <c r="D5" s="479">
        <f ca="1">tertiair!D16</f>
        <v>47421.53112889819</v>
      </c>
      <c r="E5" s="479">
        <f>tertiair!E16</f>
        <v>413.51239829529061</v>
      </c>
      <c r="F5" s="479">
        <f ca="1">tertiair!F16</f>
        <v>7087.4743135035787</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38.133333333333333</v>
      </c>
      <c r="Q5" s="478">
        <f t="shared" ref="Q5:Q13" ca="1" si="0">SUM(B5:P5)</f>
        <v>138715.71988831609</v>
      </c>
    </row>
    <row r="6" spans="1:17">
      <c r="A6" s="478" t="s">
        <v>194</v>
      </c>
      <c r="B6" s="479">
        <f>'openbare verlichting'!B8</f>
        <v>2688.8539999999998</v>
      </c>
      <c r="C6" s="479"/>
      <c r="D6" s="479"/>
      <c r="E6" s="479"/>
      <c r="F6" s="479"/>
      <c r="G6" s="479"/>
      <c r="H6" s="479"/>
      <c r="I6" s="479"/>
      <c r="J6" s="479"/>
      <c r="K6" s="479"/>
      <c r="L6" s="479"/>
      <c r="M6" s="479"/>
      <c r="N6" s="479"/>
      <c r="O6" s="479"/>
      <c r="P6" s="480"/>
      <c r="Q6" s="478">
        <f t="shared" si="0"/>
        <v>2688.8539999999998</v>
      </c>
    </row>
    <row r="7" spans="1:17">
      <c r="A7" s="478" t="s">
        <v>112</v>
      </c>
      <c r="B7" s="479">
        <f>landbouw!B8</f>
        <v>1087.7611000000002</v>
      </c>
      <c r="C7" s="479">
        <f>landbouw!C8</f>
        <v>0</v>
      </c>
      <c r="D7" s="479">
        <f>landbouw!D8</f>
        <v>4488.8143888736422</v>
      </c>
      <c r="E7" s="479">
        <f>landbouw!E8</f>
        <v>10.075298904427962</v>
      </c>
      <c r="F7" s="479">
        <f>landbouw!F8</f>
        <v>2759.8571289768988</v>
      </c>
      <c r="G7" s="479">
        <f>landbouw!G8</f>
        <v>0</v>
      </c>
      <c r="H7" s="479">
        <f>landbouw!H8</f>
        <v>0</v>
      </c>
      <c r="I7" s="479">
        <f>landbouw!I8</f>
        <v>0</v>
      </c>
      <c r="J7" s="479">
        <f>landbouw!J8</f>
        <v>166.76591607930615</v>
      </c>
      <c r="K7" s="479">
        <f>landbouw!K8</f>
        <v>0</v>
      </c>
      <c r="L7" s="479">
        <f>landbouw!L8</f>
        <v>0</v>
      </c>
      <c r="M7" s="479">
        <f>landbouw!M8</f>
        <v>0</v>
      </c>
      <c r="N7" s="479">
        <f>landbouw!N8</f>
        <v>0</v>
      </c>
      <c r="O7" s="479">
        <f>landbouw!O8</f>
        <v>0</v>
      </c>
      <c r="P7" s="480">
        <f>landbouw!P8</f>
        <v>0</v>
      </c>
      <c r="Q7" s="478">
        <f t="shared" si="0"/>
        <v>8513.2738328342766</v>
      </c>
    </row>
    <row r="8" spans="1:17">
      <c r="A8" s="478" t="s">
        <v>650</v>
      </c>
      <c r="B8" s="479">
        <f>industrie!B18</f>
        <v>40325.124169999996</v>
      </c>
      <c r="C8" s="479">
        <f>industrie!C18</f>
        <v>0</v>
      </c>
      <c r="D8" s="479">
        <f>industrie!D18</f>
        <v>51986.685750519217</v>
      </c>
      <c r="E8" s="479">
        <f>industrie!E18</f>
        <v>4438.5743059715223</v>
      </c>
      <c r="F8" s="479">
        <f>industrie!F18</f>
        <v>23363.821897508453</v>
      </c>
      <c r="G8" s="479">
        <f>industrie!G18</f>
        <v>0</v>
      </c>
      <c r="H8" s="479">
        <f>industrie!H18</f>
        <v>0</v>
      </c>
      <c r="I8" s="479">
        <f>industrie!I18</f>
        <v>0</v>
      </c>
      <c r="J8" s="479">
        <f>industrie!J18</f>
        <v>203.48581899110923</v>
      </c>
      <c r="K8" s="479">
        <f>industrie!K18</f>
        <v>0</v>
      </c>
      <c r="L8" s="479">
        <f>industrie!L18</f>
        <v>0</v>
      </c>
      <c r="M8" s="479">
        <f>industrie!M18</f>
        <v>0</v>
      </c>
      <c r="N8" s="479">
        <f>industrie!N18</f>
        <v>10446.719451633375</v>
      </c>
      <c r="O8" s="479">
        <f>industrie!O18</f>
        <v>0</v>
      </c>
      <c r="P8" s="480">
        <f>industrie!P18</f>
        <v>0</v>
      </c>
      <c r="Q8" s="478">
        <f t="shared" si="0"/>
        <v>130764.41139462365</v>
      </c>
    </row>
    <row r="9" spans="1:17" s="484" customFormat="1">
      <c r="A9" s="482" t="s">
        <v>571</v>
      </c>
      <c r="B9" s="483">
        <f>transport!B14</f>
        <v>26.379443766115543</v>
      </c>
      <c r="C9" s="483">
        <f>transport!C14</f>
        <v>0</v>
      </c>
      <c r="D9" s="483">
        <f>transport!D14</f>
        <v>68.918661650045195</v>
      </c>
      <c r="E9" s="483">
        <f>transport!E14</f>
        <v>483.71490759171201</v>
      </c>
      <c r="F9" s="483">
        <f>transport!F14</f>
        <v>0</v>
      </c>
      <c r="G9" s="483">
        <f>transport!G14</f>
        <v>155416.54498172278</v>
      </c>
      <c r="H9" s="483">
        <f>transport!H14</f>
        <v>26530.708071714434</v>
      </c>
      <c r="I9" s="483">
        <f>transport!I14</f>
        <v>0</v>
      </c>
      <c r="J9" s="483">
        <f>transport!J14</f>
        <v>0</v>
      </c>
      <c r="K9" s="483">
        <f>transport!K14</f>
        <v>0</v>
      </c>
      <c r="L9" s="483">
        <f>transport!L14</f>
        <v>0</v>
      </c>
      <c r="M9" s="483">
        <f>transport!M14</f>
        <v>9806.8487917402908</v>
      </c>
      <c r="N9" s="483">
        <f>transport!N14</f>
        <v>0</v>
      </c>
      <c r="O9" s="483">
        <f>transport!O14</f>
        <v>0</v>
      </c>
      <c r="P9" s="483">
        <f>transport!P14</f>
        <v>0</v>
      </c>
      <c r="Q9" s="482">
        <f>SUM(B9:P9)</f>
        <v>192333.11485818538</v>
      </c>
    </row>
    <row r="10" spans="1:17">
      <c r="A10" s="478" t="s">
        <v>561</v>
      </c>
      <c r="B10" s="479">
        <f>transport!B54</f>
        <v>0</v>
      </c>
      <c r="C10" s="479">
        <f>transport!C54</f>
        <v>0</v>
      </c>
      <c r="D10" s="479">
        <f>transport!D54</f>
        <v>0</v>
      </c>
      <c r="E10" s="479">
        <f>transport!E54</f>
        <v>0</v>
      </c>
      <c r="F10" s="479">
        <f>transport!F54</f>
        <v>0</v>
      </c>
      <c r="G10" s="479">
        <f>transport!G54</f>
        <v>2159.8781396480199</v>
      </c>
      <c r="H10" s="479">
        <f>transport!H54</f>
        <v>0</v>
      </c>
      <c r="I10" s="479">
        <f>transport!I54</f>
        <v>0</v>
      </c>
      <c r="J10" s="479">
        <f>transport!J54</f>
        <v>0</v>
      </c>
      <c r="K10" s="479">
        <f>transport!K54</f>
        <v>0</v>
      </c>
      <c r="L10" s="479">
        <f>transport!L54</f>
        <v>0</v>
      </c>
      <c r="M10" s="479">
        <f>transport!M54</f>
        <v>123.1715539192204</v>
      </c>
      <c r="N10" s="479">
        <f>transport!N54</f>
        <v>0</v>
      </c>
      <c r="O10" s="479">
        <f>transport!O54</f>
        <v>0</v>
      </c>
      <c r="P10" s="480">
        <f>transport!P54</f>
        <v>0</v>
      </c>
      <c r="Q10" s="478">
        <f t="shared" si="0"/>
        <v>2283.0496935672404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157823.87079453145</v>
      </c>
      <c r="C14" s="489">
        <f t="shared" ref="C14:Q14" ca="1" si="1">SUM(C4:C13)</f>
        <v>20134.285714285714</v>
      </c>
      <c r="D14" s="489">
        <f t="shared" ca="1" si="1"/>
        <v>242970.04252154933</v>
      </c>
      <c r="E14" s="489">
        <f t="shared" si="1"/>
        <v>7919.8254331433582</v>
      </c>
      <c r="F14" s="489">
        <f t="shared" ca="1" si="1"/>
        <v>33211.15333998893</v>
      </c>
      <c r="G14" s="489">
        <f t="shared" si="1"/>
        <v>157576.42312137081</v>
      </c>
      <c r="H14" s="489">
        <f t="shared" si="1"/>
        <v>26530.708071714434</v>
      </c>
      <c r="I14" s="489">
        <f t="shared" si="1"/>
        <v>0</v>
      </c>
      <c r="J14" s="489">
        <f t="shared" si="1"/>
        <v>8119.1332277073861</v>
      </c>
      <c r="K14" s="489">
        <f t="shared" si="1"/>
        <v>0</v>
      </c>
      <c r="L14" s="489">
        <f t="shared" ca="1" si="1"/>
        <v>0</v>
      </c>
      <c r="M14" s="489">
        <f t="shared" si="1"/>
        <v>9930.0203456595118</v>
      </c>
      <c r="N14" s="489">
        <f t="shared" ca="1" si="1"/>
        <v>25901.768883823679</v>
      </c>
      <c r="O14" s="489">
        <f t="shared" si="1"/>
        <v>318.92</v>
      </c>
      <c r="P14" s="490">
        <f t="shared" si="1"/>
        <v>343.2</v>
      </c>
      <c r="Q14" s="490">
        <f t="shared" ca="1" si="1"/>
        <v>690779.35145377449</v>
      </c>
    </row>
    <row r="16" spans="1:17">
      <c r="A16" s="492" t="s">
        <v>566</v>
      </c>
      <c r="B16" s="842">
        <f ca="1">huishoudens!B10</f>
        <v>0.17374428883559156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8701.0547521164463</v>
      </c>
      <c r="C21" s="479">
        <f t="shared" ref="C21:C30" ca="1" si="3">C4*$C$16</f>
        <v>0</v>
      </c>
      <c r="D21" s="479">
        <f t="shared" ref="D21:D30" si="4">D4*$D$16</f>
        <v>28078.826703504867</v>
      </c>
      <c r="E21" s="479">
        <f t="shared" ref="E21:E30" si="5">E4*$E$16</f>
        <v>584.28631458035193</v>
      </c>
      <c r="F21" s="479">
        <f t="shared" ref="F21:F30" si="6">F4*$F$16</f>
        <v>0</v>
      </c>
      <c r="G21" s="479">
        <f t="shared" ref="G21:G30" si="7">G4*$G$16</f>
        <v>0</v>
      </c>
      <c r="H21" s="479">
        <f t="shared" ref="H21:H30" si="8">H4*$H$16</f>
        <v>0</v>
      </c>
      <c r="I21" s="479">
        <f t="shared" ref="I21:I30" si="9">I4*$I$16</f>
        <v>0</v>
      </c>
      <c r="J21" s="479">
        <f t="shared" ref="J21:J30" si="10">J4*$J$16</f>
        <v>2743.1040483934876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40107.271818595145</v>
      </c>
    </row>
    <row r="22" spans="1:17">
      <c r="A22" s="478" t="s">
        <v>156</v>
      </c>
      <c r="B22" s="479">
        <f t="shared" ca="1" si="2"/>
        <v>11052.932836783855</v>
      </c>
      <c r="C22" s="479">
        <f t="shared" ca="1" si="3"/>
        <v>0</v>
      </c>
      <c r="D22" s="479">
        <f t="shared" ca="1" si="4"/>
        <v>9579.1492880374353</v>
      </c>
      <c r="E22" s="479">
        <f t="shared" si="5"/>
        <v>93.867314413030968</v>
      </c>
      <c r="F22" s="479">
        <f t="shared" ca="1" si="6"/>
        <v>1892.3556417054556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22618.305080939776</v>
      </c>
    </row>
    <row r="23" spans="1:17">
      <c r="A23" s="478" t="s">
        <v>194</v>
      </c>
      <c r="B23" s="479">
        <f t="shared" ca="1" si="2"/>
        <v>467.1730260127357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467.1730260127357</v>
      </c>
    </row>
    <row r="24" spans="1:17">
      <c r="A24" s="478" t="s">
        <v>112</v>
      </c>
      <c r="B24" s="479">
        <f t="shared" ca="1" si="2"/>
        <v>188.99227874252082</v>
      </c>
      <c r="C24" s="479">
        <f t="shared" ca="1" si="3"/>
        <v>0</v>
      </c>
      <c r="D24" s="479">
        <f t="shared" si="4"/>
        <v>906.74050655247584</v>
      </c>
      <c r="E24" s="479">
        <f t="shared" si="5"/>
        <v>2.2870928513051476</v>
      </c>
      <c r="F24" s="479">
        <f t="shared" si="6"/>
        <v>736.88185343683199</v>
      </c>
      <c r="G24" s="479">
        <f t="shared" si="7"/>
        <v>0</v>
      </c>
      <c r="H24" s="479">
        <f t="shared" si="8"/>
        <v>0</v>
      </c>
      <c r="I24" s="479">
        <f t="shared" si="9"/>
        <v>0</v>
      </c>
      <c r="J24" s="479">
        <f t="shared" si="10"/>
        <v>59.035134292074375</v>
      </c>
      <c r="K24" s="479">
        <f t="shared" si="11"/>
        <v>0</v>
      </c>
      <c r="L24" s="479">
        <f t="shared" si="12"/>
        <v>0</v>
      </c>
      <c r="M24" s="479">
        <f t="shared" si="13"/>
        <v>0</v>
      </c>
      <c r="N24" s="479">
        <f t="shared" si="14"/>
        <v>0</v>
      </c>
      <c r="O24" s="479">
        <f t="shared" si="15"/>
        <v>0</v>
      </c>
      <c r="P24" s="480">
        <f t="shared" si="16"/>
        <v>0</v>
      </c>
      <c r="Q24" s="478">
        <f t="shared" ca="1" si="17"/>
        <v>1893.9368658752082</v>
      </c>
    </row>
    <row r="25" spans="1:17">
      <c r="A25" s="478" t="s">
        <v>650</v>
      </c>
      <c r="B25" s="479">
        <f t="shared" ca="1" si="2"/>
        <v>7006.260021123574</v>
      </c>
      <c r="C25" s="479">
        <f t="shared" ca="1" si="3"/>
        <v>0</v>
      </c>
      <c r="D25" s="479">
        <f t="shared" si="4"/>
        <v>10501.310521604883</v>
      </c>
      <c r="E25" s="479">
        <f t="shared" si="5"/>
        <v>1007.5563674555356</v>
      </c>
      <c r="F25" s="479">
        <f t="shared" si="6"/>
        <v>6238.1404466347576</v>
      </c>
      <c r="G25" s="479">
        <f t="shared" si="7"/>
        <v>0</v>
      </c>
      <c r="H25" s="479">
        <f t="shared" si="8"/>
        <v>0</v>
      </c>
      <c r="I25" s="479">
        <f t="shared" si="9"/>
        <v>0</v>
      </c>
      <c r="J25" s="479">
        <f t="shared" si="10"/>
        <v>72.033979922852666</v>
      </c>
      <c r="K25" s="479">
        <f t="shared" si="11"/>
        <v>0</v>
      </c>
      <c r="L25" s="479">
        <f t="shared" si="12"/>
        <v>0</v>
      </c>
      <c r="M25" s="479">
        <f t="shared" si="13"/>
        <v>0</v>
      </c>
      <c r="N25" s="479">
        <f t="shared" si="14"/>
        <v>0</v>
      </c>
      <c r="O25" s="479">
        <f t="shared" si="15"/>
        <v>0</v>
      </c>
      <c r="P25" s="480">
        <f t="shared" si="16"/>
        <v>0</v>
      </c>
      <c r="Q25" s="478">
        <f t="shared" ca="1" si="17"/>
        <v>24825.301336741599</v>
      </c>
    </row>
    <row r="26" spans="1:17" s="484" customFormat="1">
      <c r="A26" s="482" t="s">
        <v>571</v>
      </c>
      <c r="B26" s="836">
        <f t="shared" ca="1" si="2"/>
        <v>4.5832776970222238</v>
      </c>
      <c r="C26" s="483">
        <f t="shared" ca="1" si="3"/>
        <v>0</v>
      </c>
      <c r="D26" s="483">
        <f t="shared" si="4"/>
        <v>13.921569653309131</v>
      </c>
      <c r="E26" s="483">
        <f t="shared" si="5"/>
        <v>109.80328402331862</v>
      </c>
      <c r="F26" s="483">
        <f t="shared" si="6"/>
        <v>0</v>
      </c>
      <c r="G26" s="483">
        <f t="shared" si="7"/>
        <v>41496.217510119983</v>
      </c>
      <c r="H26" s="483">
        <f t="shared" si="8"/>
        <v>6606.1463098568938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48230.671951350523</v>
      </c>
    </row>
    <row r="27" spans="1:17">
      <c r="A27" s="478" t="s">
        <v>561</v>
      </c>
      <c r="B27" s="479">
        <f t="shared" ca="1" si="2"/>
        <v>0</v>
      </c>
      <c r="C27" s="479">
        <f t="shared" ca="1" si="3"/>
        <v>0</v>
      </c>
      <c r="D27" s="479">
        <f t="shared" si="4"/>
        <v>0</v>
      </c>
      <c r="E27" s="479">
        <f t="shared" si="5"/>
        <v>0</v>
      </c>
      <c r="F27" s="479">
        <f t="shared" si="6"/>
        <v>0</v>
      </c>
      <c r="G27" s="479">
        <f t="shared" si="7"/>
        <v>576.6874632860214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576.6874632860214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27420.996192476156</v>
      </c>
      <c r="C31" s="489">
        <f t="shared" ca="1" si="18"/>
        <v>0</v>
      </c>
      <c r="D31" s="489">
        <f t="shared" ca="1" si="18"/>
        <v>49079.948589352964</v>
      </c>
      <c r="E31" s="489">
        <f t="shared" si="18"/>
        <v>1797.8003733235423</v>
      </c>
      <c r="F31" s="489">
        <f t="shared" ca="1" si="18"/>
        <v>8867.3779417770456</v>
      </c>
      <c r="G31" s="489">
        <f t="shared" si="18"/>
        <v>42072.904973406003</v>
      </c>
      <c r="H31" s="489">
        <f t="shared" si="18"/>
        <v>6606.1463098568938</v>
      </c>
      <c r="I31" s="489">
        <f t="shared" si="18"/>
        <v>0</v>
      </c>
      <c r="J31" s="489">
        <f t="shared" si="18"/>
        <v>2874.1731626084147</v>
      </c>
      <c r="K31" s="489">
        <f t="shared" si="18"/>
        <v>0</v>
      </c>
      <c r="L31" s="489">
        <f t="shared" ca="1" si="18"/>
        <v>0</v>
      </c>
      <c r="M31" s="489">
        <f t="shared" si="18"/>
        <v>0</v>
      </c>
      <c r="N31" s="489">
        <f t="shared" ca="1" si="18"/>
        <v>0</v>
      </c>
      <c r="O31" s="489">
        <f t="shared" si="18"/>
        <v>0</v>
      </c>
      <c r="P31" s="490">
        <f t="shared" si="18"/>
        <v>0</v>
      </c>
      <c r="Q31" s="490">
        <f t="shared" ca="1" si="18"/>
        <v>138719.347542801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0.17374428883559156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0.17374428883559156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0.17374428883559156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2018-06-27T09:36:44Z</dcterms:modified>
</cp:coreProperties>
</file>