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L16"/>
  <c r="L18" s="1"/>
  <c r="L8" i="48" s="1"/>
  <c r="C13" i="15"/>
  <c r="C16"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I20" i="15"/>
  <c r="J36" i="14"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Q15" i="14" l="1"/>
  <c r="Q23" s="1"/>
  <c r="G14" i="22"/>
  <c r="E7" i="48"/>
  <c r="E24" s="1"/>
  <c r="P3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0" i="14"/>
  <c r="F18" i="16"/>
  <c r="G13" i="14" s="1"/>
  <c r="G15" s="1"/>
  <c r="G23" s="1"/>
  <c r="M16" i="18"/>
  <c r="M19" s="1"/>
  <c r="K10" i="14"/>
  <c r="R10" s="1"/>
  <c r="J18" i="16"/>
  <c r="J22" s="1"/>
  <c r="K39" i="14" s="1"/>
  <c r="K41" s="1"/>
  <c r="K53"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E14" i="48"/>
  <c r="Q4"/>
  <c r="N22"/>
  <c r="N14"/>
  <c r="R11" i="14"/>
  <c r="J21" i="48"/>
  <c r="C10" i="17" l="1"/>
  <c r="C12" s="1"/>
  <c r="D48" i="14" s="1"/>
  <c r="C56" i="22"/>
  <c r="C58" s="1"/>
  <c r="D44" i="14" s="1"/>
  <c r="D46" s="1"/>
  <c r="C17" i="49"/>
  <c r="C29" i="20"/>
  <c r="C17" i="19"/>
  <c r="C19" s="1"/>
  <c r="D35" i="14" s="1"/>
  <c r="C20" i="16"/>
  <c r="C22" s="1"/>
  <c r="D39" i="14" s="1"/>
  <c r="C18" i="15"/>
  <c r="C20" s="1"/>
  <c r="D36" i="14" s="1"/>
  <c r="C10" i="13"/>
  <c r="C16" i="48" s="1"/>
  <c r="C30" s="1"/>
  <c r="C16" i="22"/>
  <c r="F8" i="48"/>
  <c r="Q8" s="1"/>
  <c r="Q14" s="1"/>
  <c r="F22" i="16"/>
  <c r="G39" i="14" s="1"/>
  <c r="G41" s="1"/>
  <c r="N31" i="48"/>
  <c r="K15" i="14"/>
  <c r="K23" s="1"/>
  <c r="K55"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<sst xmlns="http://schemas.openxmlformats.org/spreadsheetml/2006/main" count="1995" uniqueCount="858">
  <si>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</si>
  <si>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</si>
  <si>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</si>
  <si>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</si>
  <si>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</si>
  <si>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</si>
  <si>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</si>
  <si>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</si>
  <si>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</si>
  <si>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</si>
  <si>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</si>
  <si>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</si>
  <si>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</si>
  <si>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</si>
  <si>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</si>
  <si>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</si>
  <si>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</si>
  <si>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</si>
  <si>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</si>
  <si>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</si>
  <si>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</si>
  <si>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</si>
  <si>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</si>
  <si>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</si>
  <si>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</si>
  <si>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</si>
  <si>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</si>
  <si>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</si>
  <si>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</si>
  <si>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</si>
  <si>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</si>
  <si>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</si>
  <si>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</si>
  <si>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</si>
  <si>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</si>
  <si>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</si>
  <si>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</si>
  <si>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</si>
  <si>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</si>
  <si>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</si>
  <si>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</si>
  <si>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</si>
  <si>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</si>
  <si>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</si>
  <si>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</si>
  <si>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</si>
  <si>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</si>
  <si>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</si>
  <si>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</si>
  <si>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</si>
  <si>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</si>
  <si>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</si>
  <si>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</si>
  <si>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</si>
  <si>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</si>
  <si>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</si>
  <si>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</si>
  <si>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</si>
  <si>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</si>
  <si>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</si>
  <si>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</si>
  <si>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</si>
  <si>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</si>
  <si>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</si>
  <si>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</si>
  <si>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</si>
  <si>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</si>
  <si>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</si>
  <si>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</si>
  <si>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</si>
  <si>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</si>
  <si>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</si>
  <si>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</si>
  <si>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</si>
  <si>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</si>
  <si>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</si>
  <si>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</si>
  <si>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</si>
  <si>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</si>
  <si>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</si>
  <si>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</si>
  <si>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</si>
  <si>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</si>
  <si>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</si>
  <si>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</si>
  <si>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</si>
  <si>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</si>
  <si>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</si>
  <si>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</si>
  <si>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</si>
  <si>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</si>
  <si>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</si>
  <si>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</si>
  <si>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</si>
  <si>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</si>
  <si>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</si>
  <si>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</si>
  <si>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</si>
  <si>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</si>
  <si>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</si>
  <si>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</si>
  <si>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</si>
  <si>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</si>
  <si>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</si>
  <si>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</si>
  <si>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</si>
  <si>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</si>
  <si>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</si>
  <si>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</si>
  <si>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</si>
  <si>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</si>
  <si>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</si>
  <si>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</si>
  <si>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</si>
  <si>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</si>
  <si>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</si>
  <si>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</si>
  <si>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</si>
  <si>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</si>
  <si>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</si>
  <si>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</si>
  <si>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</si>
  <si>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</si>
  <si>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</si>
  <si>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</si>
  <si>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</si>
  <si>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</si>
  <si>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</si>
  <si>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</si>
  <si>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</si>
  <si>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</si>
  <si>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</si>
  <si>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</si>
  <si>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</si>
  <si>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</si>
  <si>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</si>
  <si>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</si>
  <si>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</si>
  <si>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</si>
  <si>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</si>
  <si>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</si>
  <si>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</si>
  <si>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</si>
  <si>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</si>
  <si>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</si>
  <si>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</si>
  <si>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</si>
  <si>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</si>
  <si>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</si>
  <si>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</si>
  <si>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</si>
  <si>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</si>
  <si>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</si>
  <si>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</si>
  <si>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</si>
  <si>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</si>
  <si>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</si>
  <si>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</si>
  <si>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</si>
  <si>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</si>
  <si>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</si>
  <si>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</si>
  <si>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</si>
  <si>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</si>
  <si>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</si>
  <si>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</si>
  <si>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</si>
  <si>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</si>
  <si>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</si>
  <si>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</si>
  <si>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</si>
  <si>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</si>
  <si>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</si>
  <si>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</si>
  <si>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</si>
  <si>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</si>
  <si>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</si>
  <si>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</si>
  <si>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</si>
  <si>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</si>
  <si>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</si>
  <si>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</si>
  <si>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</si>
  <si>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</si>
  <si>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</si>
  <si>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</si>
  <si>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</si>
  <si>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</si>
  <si>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</si>
  <si>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</si>
  <si>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</si>
  <si>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</si>
  <si>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</si>
  <si>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</si>
  <si>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</si>
  <si>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</si>
  <si>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</si>
  <si>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</si>
  <si>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</si>
  <si>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</si>
  <si>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</si>
  <si>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</si>
  <si>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</si>
  <si>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</si>
  <si>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</si>
  <si>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</si>
  <si>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</si>
  <si>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</si>
  <si>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</si>
  <si>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</si>
  <si>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</si>
  <si>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</si>
  <si>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</si>
  <si>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</si>
  <si>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</si>
  <si>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</si>
  <si>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</si>
  <si>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</si>
  <si>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</si>
  <si>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</si>
  <si>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</si>
  <si>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</si>
  <si>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</si>
  <si>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</si>
  <si>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</si>
  <si>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</si>
  <si>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</si>
  <si>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</si>
  <si>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</si>
  <si>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</si>
  <si>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</si>
  <si>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</si>
  <si>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</si>
  <si>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</si>
  <si>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</si>
  <si>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</si>
  <si>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</si>
  <si>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</si>
  <si>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</si>
  <si>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</si>
  <si>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</si>
  <si>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</si>
  <si>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</si>
  <si>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</si>
  <si>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</si>
  <si>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</si>
  <si>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</si>
  <si>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</si>
  <si>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</si>
  <si>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</si>
  <si>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</si>
  <si>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</si>
  <si>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</si>
  <si>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</si>
  <si>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</si>
  <si>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</si>
  <si>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</si>
  <si>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</si>
  <si>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</si>
  <si>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</si>
  <si>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</si>
  <si>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</si>
  <si>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</si>
  <si>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</si>
  <si>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</si>
  <si>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</si>
  <si>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</si>
  <si>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</si>
  <si>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</si>
  <si>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</si>
  <si>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</si>
  <si>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</si>
  <si>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</si>
  <si>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</si>
  <si>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</si>
  <si>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</si>
  <si>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</si>
  <si>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</si>
  <si>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</si>
  <si>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</si>
  <si>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</si>
  <si>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</si>
  <si>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</si>
  <si>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</si>
  <si>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</si>
  <si>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</si>
  <si>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</si>
  <si>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</si>
  <si>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</si>
  <si>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</si>
  <si>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</si>
  <si>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</si>
  <si>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</si>
  <si>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</si>
  <si>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</si>
  <si>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</si>
  <si>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</si>
  <si>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</si>
  <si>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</si>
  <si>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</si>
  <si>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</si>
  <si>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</si>
  <si>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</si>
  <si>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</si>
  <si>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</si>
  <si>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</si>
  <si>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</si>
  <si>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</si>
  <si>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</si>
  <si>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</si>
  <si>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</si>
  <si>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</si>
  <si>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</si>
  <si>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</si>
  <si>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</si>
  <si>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</si>
  <si>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</si>
  <si>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</si>
  <si>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</si>
  <si>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</si>
  <si>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</si>
  <si>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</si>
  <si>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</si>
  <si>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</si>
  <si>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</si>
  <si>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</si>
  <si>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</si>
  <si>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</si>
  <si>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</si>
  <si>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</si>
  <si>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</si>
  <si>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</si>
  <si>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</si>
  <si>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</si>
  <si>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</si>
  <si>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</si>
  <si>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</si>
  <si>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</si>
  <si>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</si>
  <si>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</si>
  <si>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</si>
  <si>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</si>
  <si>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</si>
  <si>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</si>
  <si>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</si>
  <si>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</si>
  <si>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</si>
  <si>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</si>
  <si>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</si>
  <si>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</si>
  <si>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</si>
  <si>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</si>
  <si>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</si>
  <si>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</si>
  <si>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</si>
  <si>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</si>
  <si>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</si>
  <si>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</si>
  <si>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</si>
  <si>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</si>
  <si>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</si>
  <si>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</si>
  <si>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</si>
  <si>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</si>
  <si>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</si>
  <si>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</si>
  <si>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</si>
  <si>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</si>
  <si>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</si>
  <si>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</si>
  <si>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</si>
  <si>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</si>
  <si>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</si>
  <si>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</si>
  <si>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</si>
  <si>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</si>
  <si>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</si>
  <si>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</si>
  <si>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</si>
  <si>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</si>
  <si>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</si>
  <si>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</si>
  <si>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</si>
  <si>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</si>
  <si>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</si>
  <si>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</si>
  <si>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</si>
  <si>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</si>
  <si>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</si>
  <si>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</si>
  <si>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</si>
  <si>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</si>
  <si>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</si>
  <si>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</si>
  <si>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</si>
  <si>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</si>
  <si>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</si>
  <si>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</si>
  <si>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</si>
  <si>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</si>
  <si>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</si>
  <si>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</si>
  <si>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</si>
  <si>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</si>
  <si>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</si>
  <si>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</si>
  <si>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</si>
  <si>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</si>
  <si>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</si>
  <si>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</si>
  <si>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</si>
  <si>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</si>
  <si>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</si>
  <si>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</si>
  <si>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</si>
  <si>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</si>
  <si>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</si>
  <si>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</si>
  <si>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</si>
  <si>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</si>
  <si>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</si>
  <si>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</si>
  <si>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</si>
  <si>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</si>
  <si>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</si>
  <si>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</si>
  <si>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</si>
  <si>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</si>
  <si>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</si>
  <si>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</si>
  <si>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</si>
  <si>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</si>
  <si>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</si>
  <si>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</si>
  <si>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</si>
  <si>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</si>
  <si>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</si>
  <si>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</si>
  <si>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</si>
  <si>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</si>
  <si>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</si>
  <si>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</si>
  <si>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</si>
  <si>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</si>
  <si>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</si>
  <si>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</si>
  <si>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</si>
  <si>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</si>
  <si>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</si>
  <si>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</si>
  <si>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</si>
  <si>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</si>
  <si>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</si>
  <si>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</si>
  <si>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</si>
  <si>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</si>
  <si>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</si>
  <si>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</si>
  <si>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</si>
  <si>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</si>
  <si>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</si>
  <si>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</si>
  <si>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</si>
  <si>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</si>
  <si>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</si>
  <si>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</si>
  <si>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</si>
  <si>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</si>
  <si>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</si>
  <si>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</si>
  <si>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</si>
  <si>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</si>
  <si>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</si>
  <si>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</si>
  <si>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</si>
  <si>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</si>
  <si>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</si>
  <si>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</si>
  <si>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</si>
  <si>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</si>
  <si>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</si>
  <si>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</si>
  <si>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</si>
  <si>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</si>
  <si>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</si>
  <si>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</si>
  <si>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</si>
  <si>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</si>
  <si>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</si>
  <si>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</si>
  <si>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</si>
  <si>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</si>
  <si>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</si>
  <si>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</si>
  <si>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</si>
  <si>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</si>
  <si>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</si>
  <si>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</si>
  <si>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</si>
  <si>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</si>
  <si>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</si>
  <si>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</si>
  <si>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</si>
  <si>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</si>
  <si>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</si>
  <si>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</si>
  <si>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</si>
  <si>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</si>
  <si>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</si>
  <si>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</si>
  <si>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</si>
  <si>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</si>
  <si>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</si>
  <si>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</si>
  <si>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</si>
  <si>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</si>
  <si>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</si>
  <si>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</si>
  <si>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</si>
  <si>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</si>
  <si>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</si>
  <si>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</si>
  <si>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</si>
  <si>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</si>
  <si>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</si>
  <si>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</si>
  <si>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</si>
  <si>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</si>
  <si>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</si>
  <si>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</si>
  <si>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</si>
  <si>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</si>
  <si>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</si>
  <si>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</si>
  <si>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</si>
  <si>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</si>
  <si>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</si>
  <si>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</si>
  <si>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</si>
  <si>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</si>
  <si>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</si>
  <si>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</si>
  <si>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</si>
  <si>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</si>
  <si>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</si>
  <si>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</si>
  <si>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</si>
  <si>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</si>
  <si>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</si>
  <si>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</si>
  <si>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</si>
  <si>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</si>
  <si>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</si>
  <si>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</si>
  <si>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</si>
  <si>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</si>
  <si>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</si>
  <si>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</si>
  <si>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</si>
  <si>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</si>
  <si>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</si>
  <si>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</si>
  <si>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</si>
  <si>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</si>
  <si>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</si>
  <si>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</si>
  <si>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</si>
  <si>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</si>
  <si>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</si>
  <si>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</si>
  <si>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</si>
  <si>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</si>
  <si>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</si>
  <si>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</si>
  <si>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</si>
  <si>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</si>
  <si>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</si>
  <si>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</si>
  <si>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</si>
  <si>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</si>
  <si>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</si>
  <si>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</si>
  <si>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</si>
  <si>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</si>
  <si>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</si>
  <si>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</si>
  <si>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</si>
  <si>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</si>
  <si>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</si>
  <si>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</si>
  <si>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</si>
  <si>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</si>
  <si>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</si>
  <si>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</si>
  <si>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</si>
  <si>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</si>
  <si>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</si>
  <si>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</si>
  <si>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</si>
  <si>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</si>
  <si>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</si>
  <si>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</si>
  <si>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</si>
  <si>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</si>
  <si>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</si>
  <si>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</si>
  <si>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</si>
  <si>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</si>
  <si>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</si>
  <si>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</si>
  <si>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</si>
  <si>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</si>
  <si>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</si>
  <si>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</si>
  <si>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</si>
  <si>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</si>
  <si>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</si>
  <si>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</si>
  <si>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</si>
  <si>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</si>
  <si>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</si>
  <si>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</si>
  <si>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</si>
  <si>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</si>
  <si>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</si>
  <si>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</si>
  <si>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</si>
  <si>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</si>
  <si>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</si>
  <si>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</si>
  <si>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</si>
  <si>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</si>
  <si>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</si>
  <si>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</si>
  <si>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</si>
  <si>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</si>
  <si>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</si>
  <si>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</si>
  <si>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</si>
  <si>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</si>
  <si>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</si>
  <si>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</si>
  <si>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</si>
  <si>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</si>
  <si>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</si>
  <si>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</si>
  <si>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</si>
  <si>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</si>
  <si>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</si>
  <si>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</si>
  <si>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</si>
  <si>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</si>
  <si>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</si>
  <si>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</si>
  <si>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</si>
  <si>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</si>
  <si>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</si>
  <si>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</si>
  <si>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</si>
  <si>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</si>
  <si>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</si>
  <si>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</si>
  <si>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</si>
  <si>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</si>
  <si>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</si>
  <si>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</si>
  <si>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</si>
  <si>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</si>
  <si>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</si>
  <si>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</si>
  <si>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</si>
  <si>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</si>
  <si>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</si>
  <si>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</si>
  <si>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</si>
  <si>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</si>
  <si>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</si>
  <si>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</si>
  <si>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</si>
  <si>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</si>
  <si>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</si>
  <si>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</si>
  <si>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</si>
  <si>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</si>
  <si>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</si>
  <si>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</si>
  <si>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</si>
  <si>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</si>
  <si>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</si>
  <si>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</si>
  <si>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</si>
  <si>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</si>
  <si>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</si>
  <si>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</si>
  <si>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</si>
  <si>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</si>
  <si>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</si>
  <si>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</si>
  <si>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</si>
  <si>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</si>
  <si>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</si>
  <si>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</si>
  <si>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</si>
  <si>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</si>
  <si>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</si>
  <si>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</si>
  <si>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</si>
  <si>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</si>
  <si>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</si>
  <si>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</si>
  <si>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</si>
  <si>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</si>
  <si>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</si>
  <si>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</si>
  <si>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</si>
  <si>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</si>
  <si>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</si>
  <si>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</si>
  <si>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</si>
  <si>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</si>
  <si>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</si>
  <si>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</si>
  <si>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</si>
  <si>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</si>
  <si>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</si>
  <si>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</si>
  <si>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</si>
  <si>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</si>
  <si>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</si>
  <si>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</si>
  <si>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</si>
  <si>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</si>
  <si>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</si>
  <si>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</si>
  <si>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</si>
  <si>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</si>
  <si>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</si>
  <si>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</si>
  <si>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</si>
  <si>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</si>
  <si>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</si>
  <si>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</si>
  <si>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</si>
  <si>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</si>
  <si>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</si>
  <si>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</si>
  <si>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</si>
  <si>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</si>
  <si>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</si>
  <si>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</si>
  <si>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</si>
  <si>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</si>
  <si>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</si>
  <si>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</si>
  <si>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</si>
  <si>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</si>
  <si>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</si>
  <si>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</si>
  <si>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</si>
  <si>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</si>
  <si>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</si>
  <si>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</si>
  <si>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</si>
  <si>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</si>
  <si>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</si>
  <si>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</si>
  <si>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</si>
  <si>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</si>
  <si>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</si>
  <si>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</si>
  <si>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</si>
  <si>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</si>
  <si>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</si>
  <si>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</si>
  <si>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</si>
  <si>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</si>
  <si>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</si>
  <si>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</si>
  <si>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</si>
  <si>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</si>
  <si>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</si>
  <si>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</si>
  <si>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</si>
  <si>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</si>
  <si>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</si>
  <si>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</si>
  <si>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</si>
  <si>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</si>
  <si>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</si>
  <si>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</si>
  <si>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</si>
  <si>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</si>
  <si>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</si>
  <si>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</si>
  <si>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</si>
  <si>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</si>
  <si>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</si>
  <si>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</si>
  <si>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</si>
  <si>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</si>
  <si>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</si>
  <si>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</si>
  <si>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</si>
  <si>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</si>
  <si>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</si>
  <si>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</si>
  <si>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</si>
  <si>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</si>
  <si>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</si>
  <si>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</si>
  <si>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</si>
  <si>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</si>
  <si>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</si>
  <si>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</si>
  <si>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</si>
  <si>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</si>
  <si>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</si>
  <si>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</si>
  <si>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</si>
  <si>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</si>
  <si>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</si>
  <si>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</si>
  <si>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</si>
  <si>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</si>
  <si>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</si>
  <si>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</si>
  <si>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34013</t>
  </si>
  <si>
    <t>HARELBEKE</t>
  </si>
  <si>
    <t>Paarden&amp;pony's 200 - 600 kg</t>
  </si>
  <si>
    <t>Paarden&amp;pony's &lt; 200 kg</t>
  </si>
  <si>
    <t>referentietaak LNE (2017); Jaarverslag De Lijn (2014)</t>
  </si>
  <si>
    <t>op basis van VEA (maart 2018) en Inventaris Hernieuwbare Energiebronnen (juni 2018)</t>
  </si>
  <si>
    <t>VEA (maart 2016)</t>
  </si>
  <si>
    <t>VEA (juni 2018)</t>
  </si>
  <si>
    <t>Kwekerij Horizon bvba</t>
  </si>
  <si>
    <t>Ginstestraat 44, 8531 Hulste</t>
  </si>
  <si>
    <t>WKK-0155 Horizon nv</t>
  </si>
  <si>
    <t>interne verbrandingsmotor</t>
  </si>
  <si>
    <t>WKK interne verbrandinsgmotor (gas)</t>
  </si>
  <si>
    <t>Infrax West</t>
  </si>
  <si>
    <t>FV Franky &amp; Els Galle Vanackere</t>
  </si>
  <si>
    <t>Veldstraat 1 A, 8770 Ingelmunster</t>
  </si>
  <si>
    <t>WKK-0300 Groeikracht Bavikhove</t>
  </si>
  <si>
    <t>Eerste Aardstraat 30 A, 8531 Bavikhove</t>
  </si>
  <si>
    <t>Aspiravi nv</t>
  </si>
  <si>
    <t>Vaarnewijkstraat 18, 8530 Harelbeke</t>
  </si>
  <si>
    <t>WKK-0094 Agristo</t>
  </si>
  <si>
    <t>Vaarnewijkstraat 17 , 8530 Harelbeke</t>
  </si>
  <si>
    <t>OCMW Harelbeke</t>
  </si>
  <si>
    <t>Paretteplein 19 , 8530 Harelbeke</t>
  </si>
  <si>
    <t>WKK-0564 OCMW Harelbeke</t>
  </si>
  <si>
    <t>Vrijdomkaai 31 , 8530 Harelbeke</t>
  </si>
  <si>
    <t>Aquafin NV</t>
  </si>
  <si>
    <t>Dijkstraat 8 , 2630 Aartselaar</t>
  </si>
  <si>
    <t>BGS-0056 RWZI Harelbeke</t>
  </si>
  <si>
    <t>biogas - RWZI</t>
  </si>
  <si>
    <t>niet WKK interne verbrandingsmotor (gas)</t>
  </si>
  <si>
    <t>Kortrijksesteenweg 266 , 8530 Harelbeke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</si>
</sst>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189426.35069515277</c:v>
                </c:pt>
                <c:pt idx="1">
                  <c:v>164372.75541340405</c:v>
                </c:pt>
                <c:pt idx="2">
                  <c:v>2337.2689999999998</c:v>
                </c:pt>
                <c:pt idx="3">
                  <c:v>38683.050079899098</c:v>
                </c:pt>
                <c:pt idx="4">
                  <c:v>151373.37458774677</c:v>
                </c:pt>
                <c:pt idx="5">
                  <c:v>193531.62971483628</c:v>
                </c:pt>
                <c:pt idx="6">
                  <c:v>1469.2528517648691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189426.35069515277</c:v>
                </c:pt>
                <c:pt idx="1">
                  <c:v>164372.75541340405</c:v>
                </c:pt>
                <c:pt idx="2">
                  <c:v>2337.2689999999998</c:v>
                </c:pt>
                <c:pt idx="3">
                  <c:v>38683.050079899098</c:v>
                </c:pt>
                <c:pt idx="4">
                  <c:v>151373.37458774677</c:v>
                </c:pt>
                <c:pt idx="5">
                  <c:v>193531.62971483628</c:v>
                </c:pt>
                <c:pt idx="6">
                  <c:v>1469.2528517648691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34876.22523163374</c:v>
                </c:pt>
                <c:pt idx="1">
                  <c:v>31948.71265815166</c:v>
                </c:pt>
                <c:pt idx="2">
                  <c:v>440.01312860263937</c:v>
                </c:pt>
                <c:pt idx="3">
                  <c:v>8473.3036312946224</c:v>
                </c:pt>
                <c:pt idx="4">
                  <c:v>29740.835819520449</c:v>
                </c:pt>
                <c:pt idx="5">
                  <c:v>48563.798825627571</c:v>
                </c:pt>
                <c:pt idx="6">
                  <c:v>371.12626255898033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5168"/>
        <c:axId val="177185152"/>
      </c:barChart>
      <c:catAx>
        <c:axId val="177175168"/>
        <c:scaling>
          <c:orientation val="minMax"/>
        </c:scaling>
        <c:axPos val="b"/>
        <c:numFmt formatCode="General" sourceLinked="0"/>
        <c:tickLblPos val="nextTo"/>
        <c:crossAx val="177185152"/>
        <c:crosses val="autoZero"/>
        <c:auto val="1"/>
        <c:lblAlgn val="ctr"/>
        <c:lblOffset val="100"/>
      </c:catAx>
      <c:valAx>
        <c:axId val="177185152"/>
        <c:scaling>
          <c:orientation val="minMax"/>
        </c:scaling>
        <c:axPos val="l"/>
        <c:majorGridlines/>
        <c:numFmt formatCode="#,##0" sourceLinked="1"/>
        <c:tickLblPos val="nextTo"/>
        <c:crossAx val="1771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34876.22523163374</c:v>
                </c:pt>
                <c:pt idx="1">
                  <c:v>31948.71265815166</c:v>
                </c:pt>
                <c:pt idx="2">
                  <c:v>440.01312860263937</c:v>
                </c:pt>
                <c:pt idx="3">
                  <c:v>8473.3036312946224</c:v>
                </c:pt>
                <c:pt idx="4">
                  <c:v>29740.835819520449</c:v>
                </c:pt>
                <c:pt idx="5">
                  <c:v>48563.798825627571</c:v>
                </c:pt>
                <c:pt idx="6">
                  <c:v>371.12626255898033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34013</v>
      </c>
      <c r="B6" s="416"/>
      <c r="C6" s="417"/>
    </row>
    <row r="7" spans="1:7" s="414" customFormat="1" ht="15.75" customHeight="1">
      <c r="A7" s="418" t="str">
        <f>txtMunicipality</f>
        <v>HARELBEKE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34013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11634</v>
      </c>
      <c r="C9" s="342">
        <v>11608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1139</v>
      </c>
    </row>
    <row r="15" spans="1:6">
      <c r="A15" s="348" t="s">
        <v>184</v>
      </c>
      <c r="B15" s="334">
        <v>16</v>
      </c>
    </row>
    <row r="16" spans="1:6">
      <c r="A16" s="348" t="s">
        <v>6</v>
      </c>
      <c r="B16" s="334">
        <v>398</v>
      </c>
    </row>
    <row r="17" spans="1:6">
      <c r="A17" s="348" t="s">
        <v>7</v>
      </c>
      <c r="B17" s="334">
        <v>386</v>
      </c>
    </row>
    <row r="18" spans="1:6">
      <c r="A18" s="348" t="s">
        <v>8</v>
      </c>
      <c r="B18" s="334">
        <v>559</v>
      </c>
    </row>
    <row r="19" spans="1:6">
      <c r="A19" s="348" t="s">
        <v>9</v>
      </c>
      <c r="B19" s="334">
        <v>622</v>
      </c>
    </row>
    <row r="20" spans="1:6">
      <c r="A20" s="348" t="s">
        <v>10</v>
      </c>
      <c r="B20" s="334">
        <v>546</v>
      </c>
    </row>
    <row r="21" spans="1:6">
      <c r="A21" s="348" t="s">
        <v>11</v>
      </c>
      <c r="B21" s="334">
        <v>2068</v>
      </c>
    </row>
    <row r="22" spans="1:6">
      <c r="A22" s="348" t="s">
        <v>12</v>
      </c>
      <c r="B22" s="334">
        <v>7382</v>
      </c>
    </row>
    <row r="23" spans="1:6">
      <c r="A23" s="348" t="s">
        <v>13</v>
      </c>
      <c r="B23" s="334">
        <v>89</v>
      </c>
    </row>
    <row r="24" spans="1:6">
      <c r="A24" s="348" t="s">
        <v>14</v>
      </c>
      <c r="B24" s="334">
        <v>4</v>
      </c>
    </row>
    <row r="25" spans="1:6">
      <c r="A25" s="348" t="s">
        <v>15</v>
      </c>
      <c r="B25" s="334">
        <v>441</v>
      </c>
    </row>
    <row r="26" spans="1:6">
      <c r="A26" s="348" t="s">
        <v>16</v>
      </c>
      <c r="B26" s="334">
        <v>67</v>
      </c>
    </row>
    <row r="27" spans="1:6">
      <c r="A27" s="348" t="s">
        <v>17</v>
      </c>
      <c r="B27" s="334">
        <v>0</v>
      </c>
    </row>
    <row r="28" spans="1:6" s="356" customFormat="1">
      <c r="A28" s="355" t="s">
        <v>18</v>
      </c>
      <c r="B28" s="355">
        <v>121825</v>
      </c>
    </row>
    <row r="29" spans="1:6">
      <c r="A29" s="355" t="s">
        <v>828</v>
      </c>
      <c r="B29" s="355">
        <v>47</v>
      </c>
      <c r="C29" s="356"/>
      <c r="D29" s="356"/>
      <c r="E29" s="356"/>
      <c r="F29" s="356"/>
    </row>
    <row r="30" spans="1:6">
      <c r="A30" s="341" t="s">
        <v>829</v>
      </c>
      <c r="B30" s="341">
        <v>12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4</v>
      </c>
      <c r="D35" s="334">
        <v>1422135</v>
      </c>
      <c r="E35" s="334">
        <v>0</v>
      </c>
      <c r="F35" s="334">
        <v>0</v>
      </c>
    </row>
    <row r="36" spans="1:6">
      <c r="A36" s="348" t="s">
        <v>25</v>
      </c>
      <c r="B36" s="348" t="s">
        <v>27</v>
      </c>
      <c r="C36" s="334">
        <v>0</v>
      </c>
      <c r="D36" s="334">
        <v>0</v>
      </c>
      <c r="E36" s="334">
        <v>12</v>
      </c>
      <c r="F36" s="334">
        <v>64211</v>
      </c>
    </row>
    <row r="37" spans="1:6">
      <c r="A37" s="348" t="s">
        <v>25</v>
      </c>
      <c r="B37" s="348" t="s">
        <v>28</v>
      </c>
      <c r="C37" s="334">
        <v>0</v>
      </c>
      <c r="D37" s="334">
        <v>0</v>
      </c>
      <c r="E37" s="334">
        <v>0</v>
      </c>
      <c r="F37" s="334">
        <v>0</v>
      </c>
    </row>
    <row r="38" spans="1:6">
      <c r="A38" s="348" t="s">
        <v>25</v>
      </c>
      <c r="B38" s="348" t="s">
        <v>29</v>
      </c>
      <c r="C38" s="334">
        <v>2</v>
      </c>
      <c r="D38" s="334">
        <v>225945</v>
      </c>
      <c r="E38" s="334">
        <v>1</v>
      </c>
      <c r="F38" s="334">
        <v>9609</v>
      </c>
    </row>
    <row r="39" spans="1:6">
      <c r="A39" s="348" t="s">
        <v>30</v>
      </c>
      <c r="B39" s="348" t="s">
        <v>31</v>
      </c>
      <c r="C39" s="334">
        <v>8876</v>
      </c>
      <c r="D39" s="334">
        <v>130783171.33973636</v>
      </c>
      <c r="E39" s="334">
        <v>11602</v>
      </c>
      <c r="F39" s="334">
        <v>40468839</v>
      </c>
    </row>
    <row r="40" spans="1:6">
      <c r="A40" s="348" t="s">
        <v>30</v>
      </c>
      <c r="B40" s="348" t="s">
        <v>29</v>
      </c>
      <c r="C40" s="334">
        <v>0</v>
      </c>
      <c r="D40" s="334">
        <v>0</v>
      </c>
      <c r="E40" s="334">
        <v>0</v>
      </c>
      <c r="F40" s="334">
        <v>0</v>
      </c>
    </row>
    <row r="41" spans="1:6">
      <c r="A41" s="348" t="s">
        <v>32</v>
      </c>
      <c r="B41" s="348" t="s">
        <v>33</v>
      </c>
      <c r="C41" s="334">
        <v>155</v>
      </c>
      <c r="D41" s="334">
        <v>6303423</v>
      </c>
      <c r="E41" s="334">
        <v>347</v>
      </c>
      <c r="F41" s="334">
        <v>13592732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22</v>
      </c>
      <c r="D44" s="334">
        <v>3120945</v>
      </c>
      <c r="E44" s="334">
        <v>52</v>
      </c>
      <c r="F44" s="334">
        <v>5129301</v>
      </c>
    </row>
    <row r="45" spans="1:6">
      <c r="A45" s="348" t="s">
        <v>32</v>
      </c>
      <c r="B45" s="348" t="s">
        <v>37</v>
      </c>
      <c r="C45" s="334">
        <v>4</v>
      </c>
      <c r="D45" s="334">
        <v>4590850</v>
      </c>
      <c r="E45" s="334">
        <v>10</v>
      </c>
      <c r="F45" s="334">
        <v>3288538</v>
      </c>
    </row>
    <row r="46" spans="1:6">
      <c r="A46" s="348" t="s">
        <v>32</v>
      </c>
      <c r="B46" s="348" t="s">
        <v>38</v>
      </c>
      <c r="C46" s="334">
        <v>0</v>
      </c>
      <c r="D46" s="334">
        <v>0</v>
      </c>
      <c r="E46" s="334">
        <v>4</v>
      </c>
      <c r="F46" s="334">
        <v>78019</v>
      </c>
    </row>
    <row r="47" spans="1:6">
      <c r="A47" s="348" t="s">
        <v>32</v>
      </c>
      <c r="B47" s="348" t="s">
        <v>39</v>
      </c>
      <c r="C47" s="334">
        <v>10</v>
      </c>
      <c r="D47" s="334">
        <v>6327425</v>
      </c>
      <c r="E47" s="334">
        <v>14</v>
      </c>
      <c r="F47" s="334">
        <v>3699944</v>
      </c>
    </row>
    <row r="48" spans="1:6">
      <c r="A48" s="348" t="s">
        <v>32</v>
      </c>
      <c r="B48" s="348" t="s">
        <v>29</v>
      </c>
      <c r="C48" s="334">
        <v>1</v>
      </c>
      <c r="D48" s="334">
        <v>138132</v>
      </c>
      <c r="E48" s="334">
        <v>1</v>
      </c>
      <c r="F48" s="334">
        <v>26844</v>
      </c>
    </row>
    <row r="49" spans="1:6">
      <c r="A49" s="348" t="s">
        <v>32</v>
      </c>
      <c r="B49" s="348" t="s">
        <v>40</v>
      </c>
      <c r="C49" s="334">
        <v>14</v>
      </c>
      <c r="D49" s="334">
        <v>46620363</v>
      </c>
      <c r="E49" s="334">
        <v>27</v>
      </c>
      <c r="F49" s="334">
        <v>15556243</v>
      </c>
    </row>
    <row r="50" spans="1:6">
      <c r="A50" s="348" t="s">
        <v>32</v>
      </c>
      <c r="B50" s="348" t="s">
        <v>41</v>
      </c>
      <c r="C50" s="334">
        <v>27</v>
      </c>
      <c r="D50" s="334">
        <v>11335068</v>
      </c>
      <c r="E50" s="334">
        <v>38</v>
      </c>
      <c r="F50" s="334">
        <v>4587427</v>
      </c>
    </row>
    <row r="51" spans="1:6">
      <c r="A51" s="348" t="s">
        <v>42</v>
      </c>
      <c r="B51" s="348" t="s">
        <v>43</v>
      </c>
      <c r="C51" s="334">
        <v>20</v>
      </c>
      <c r="D51" s="334">
        <v>19470743</v>
      </c>
      <c r="E51" s="334">
        <v>80</v>
      </c>
      <c r="F51" s="334">
        <v>2353291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111</v>
      </c>
      <c r="F54" s="334">
        <v>2337269</v>
      </c>
    </row>
    <row r="55" spans="1:6">
      <c r="A55" s="348" t="s">
        <v>46</v>
      </c>
      <c r="B55" s="348" t="s">
        <v>29</v>
      </c>
      <c r="C55" s="334">
        <v>0</v>
      </c>
      <c r="D55" s="334">
        <v>0</v>
      </c>
      <c r="E55" s="334">
        <v>0</v>
      </c>
      <c r="F55" s="334">
        <v>0</v>
      </c>
    </row>
    <row r="56" spans="1:6">
      <c r="A56" s="348" t="s">
        <v>48</v>
      </c>
      <c r="B56" s="348" t="s">
        <v>29</v>
      </c>
      <c r="C56" s="334">
        <v>140</v>
      </c>
      <c r="D56" s="334">
        <v>2620812</v>
      </c>
      <c r="E56" s="334">
        <v>267</v>
      </c>
      <c r="F56" s="334">
        <v>983354</v>
      </c>
    </row>
    <row r="57" spans="1:6">
      <c r="A57" s="348" t="s">
        <v>49</v>
      </c>
      <c r="B57" s="348" t="s">
        <v>50</v>
      </c>
      <c r="C57" s="334">
        <v>86</v>
      </c>
      <c r="D57" s="334">
        <v>9921948</v>
      </c>
      <c r="E57" s="334">
        <v>200</v>
      </c>
      <c r="F57" s="334">
        <v>11908164</v>
      </c>
    </row>
    <row r="58" spans="1:6">
      <c r="A58" s="348" t="s">
        <v>49</v>
      </c>
      <c r="B58" s="348" t="s">
        <v>51</v>
      </c>
      <c r="C58" s="334">
        <v>26</v>
      </c>
      <c r="D58" s="334">
        <v>1093812</v>
      </c>
      <c r="E58" s="334">
        <v>46</v>
      </c>
      <c r="F58" s="334">
        <v>877649</v>
      </c>
    </row>
    <row r="59" spans="1:6">
      <c r="A59" s="348" t="s">
        <v>49</v>
      </c>
      <c r="B59" s="348" t="s">
        <v>52</v>
      </c>
      <c r="C59" s="334">
        <v>208</v>
      </c>
      <c r="D59" s="334">
        <v>71831727</v>
      </c>
      <c r="E59" s="334">
        <v>396</v>
      </c>
      <c r="F59" s="334">
        <v>33928932</v>
      </c>
    </row>
    <row r="60" spans="1:6">
      <c r="A60" s="348" t="s">
        <v>49</v>
      </c>
      <c r="B60" s="348" t="s">
        <v>53</v>
      </c>
      <c r="C60" s="334">
        <v>69</v>
      </c>
      <c r="D60" s="334">
        <v>3733328</v>
      </c>
      <c r="E60" s="334">
        <v>95</v>
      </c>
      <c r="F60" s="334">
        <v>1960150</v>
      </c>
    </row>
    <row r="61" spans="1:6">
      <c r="A61" s="348" t="s">
        <v>49</v>
      </c>
      <c r="B61" s="348" t="s">
        <v>54</v>
      </c>
      <c r="C61" s="334">
        <v>252</v>
      </c>
      <c r="D61" s="334">
        <v>11223309</v>
      </c>
      <c r="E61" s="334">
        <v>495</v>
      </c>
      <c r="F61" s="334">
        <v>8769601</v>
      </c>
    </row>
    <row r="62" spans="1:6">
      <c r="A62" s="348" t="s">
        <v>49</v>
      </c>
      <c r="B62" s="348" t="s">
        <v>55</v>
      </c>
      <c r="C62" s="334">
        <v>17</v>
      </c>
      <c r="D62" s="334">
        <v>2752283</v>
      </c>
      <c r="E62" s="334">
        <v>21</v>
      </c>
      <c r="F62" s="334">
        <v>598253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3825</v>
      </c>
      <c r="E65" s="334">
        <v>1</v>
      </c>
      <c r="F65" s="334">
        <v>999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8</v>
      </c>
      <c r="D68" s="334">
        <v>158221</v>
      </c>
      <c r="E68" s="334">
        <v>13</v>
      </c>
      <c r="F68" s="334">
        <v>126949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59242575</v>
      </c>
      <c r="E73" s="477">
        <v>66159082.633877918</v>
      </c>
    </row>
    <row r="74" spans="1:6">
      <c r="A74" s="348" t="s">
        <v>64</v>
      </c>
      <c r="B74" s="348" t="s">
        <v>714</v>
      </c>
      <c r="C74" s="1229" t="s">
        <v>716</v>
      </c>
      <c r="D74" s="477">
        <v>7840788.2801306946</v>
      </c>
      <c r="E74" s="477">
        <v>8279919.3679853212</v>
      </c>
    </row>
    <row r="75" spans="1:6">
      <c r="A75" s="348" t="s">
        <v>65</v>
      </c>
      <c r="B75" s="348" t="s">
        <v>713</v>
      </c>
      <c r="C75" s="1229" t="s">
        <v>717</v>
      </c>
      <c r="D75" s="477">
        <v>34223906</v>
      </c>
      <c r="E75" s="477">
        <v>48448621.592606574</v>
      </c>
    </row>
    <row r="76" spans="1:6">
      <c r="A76" s="348" t="s">
        <v>65</v>
      </c>
      <c r="B76" s="348" t="s">
        <v>714</v>
      </c>
      <c r="C76" s="1229" t="s">
        <v>718</v>
      </c>
      <c r="D76" s="477">
        <v>2813467.2801306951</v>
      </c>
      <c r="E76" s="477">
        <v>2898209.3977296893</v>
      </c>
    </row>
    <row r="77" spans="1:6">
      <c r="A77" s="348" t="s">
        <v>66</v>
      </c>
      <c r="B77" s="348" t="s">
        <v>713</v>
      </c>
      <c r="C77" s="1229" t="s">
        <v>719</v>
      </c>
      <c r="D77" s="477">
        <v>73595710</v>
      </c>
      <c r="E77" s="477">
        <v>82623082.869549736</v>
      </c>
    </row>
    <row r="78" spans="1:6">
      <c r="A78" s="341" t="s">
        <v>66</v>
      </c>
      <c r="B78" s="341" t="s">
        <v>714</v>
      </c>
      <c r="C78" s="341" t="s">
        <v>720</v>
      </c>
      <c r="D78" s="1225">
        <v>17993530</v>
      </c>
      <c r="E78" s="1225">
        <v>19318076.508606836</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392619.43973861006</v>
      </c>
      <c r="C83" s="477">
        <v>395971.02595365379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3503.881255936516</v>
      </c>
    </row>
    <row r="91" spans="1:6">
      <c r="A91" s="348" t="s">
        <v>68</v>
      </c>
      <c r="B91" s="334">
        <v>4397.7619855287621</v>
      </c>
    </row>
    <row r="92" spans="1:6">
      <c r="A92" s="341" t="s">
        <v>69</v>
      </c>
      <c r="B92" s="342">
        <v>12690.79032222141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6352</v>
      </c>
    </row>
    <row r="98" spans="1:6">
      <c r="A98" s="348" t="s">
        <v>72</v>
      </c>
      <c r="B98" s="334">
        <v>0</v>
      </c>
    </row>
    <row r="99" spans="1:6">
      <c r="A99" s="348" t="s">
        <v>73</v>
      </c>
      <c r="B99" s="334">
        <v>112</v>
      </c>
    </row>
    <row r="100" spans="1:6">
      <c r="A100" s="348" t="s">
        <v>74</v>
      </c>
      <c r="B100" s="334">
        <v>800</v>
      </c>
    </row>
    <row r="101" spans="1:6">
      <c r="A101" s="348" t="s">
        <v>75</v>
      </c>
      <c r="B101" s="334">
        <v>112</v>
      </c>
    </row>
    <row r="102" spans="1:6">
      <c r="A102" s="348" t="s">
        <v>76</v>
      </c>
      <c r="B102" s="334">
        <v>177</v>
      </c>
    </row>
    <row r="103" spans="1:6">
      <c r="A103" s="348" t="s">
        <v>77</v>
      </c>
      <c r="B103" s="334">
        <v>204</v>
      </c>
    </row>
    <row r="104" spans="1:6">
      <c r="A104" s="348" t="s">
        <v>78</v>
      </c>
      <c r="B104" s="334">
        <v>2528</v>
      </c>
    </row>
    <row r="105" spans="1:6">
      <c r="A105" s="341" t="s">
        <v>79</v>
      </c>
      <c r="B105" s="341">
        <v>10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3</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70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165</v>
      </c>
    </row>
    <row r="130" spans="1:6">
      <c r="A130" s="348" t="s">
        <v>295</v>
      </c>
      <c r="B130" s="334">
        <v>1</v>
      </c>
    </row>
    <row r="131" spans="1:6">
      <c r="A131" s="348" t="s">
        <v>296</v>
      </c>
      <c r="B131" s="334">
        <v>6</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154922.85444704723</v>
      </c>
      <c r="C3" s="43" t="s">
        <v>170</v>
      </c>
      <c r="D3" s="43"/>
      <c r="E3" s="154"/>
      <c r="F3" s="43"/>
      <c r="G3" s="43"/>
      <c r="H3" s="43"/>
      <c r="I3" s="43"/>
      <c r="J3" s="43"/>
      <c r="K3" s="96"/>
    </row>
    <row r="4" spans="1:11">
      <c r="A4" s="384" t="s">
        <v>171</v>
      </c>
      <c r="B4" s="49">
        <f>IF(ISERROR('SEAP template'!B69),0,'SEAP template'!B69)</f>
        <v>42916.933563686689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4412.3929411764711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0.18825951510187292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6303.4184873949598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29976.428571428572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0.21027916892684595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2337.2689999999998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2337.2689999999998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0.18825951510187292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440.01312860263937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40468.839</v>
      </c>
      <c r="C5" s="17">
        <f>IF(ISERROR('Eigen informatie GS &amp; warmtenet'!B57),0,'Eigen informatie GS &amp; warmtenet'!B57)</f>
        <v>0</v>
      </c>
      <c r="D5" s="30">
        <f>(SUM(HH_hh_gas_kWh,HH_rest_gas_kWh)/1000)*0.902</f>
        <v>117966.4205484422</v>
      </c>
      <c r="E5" s="17">
        <f>B46*B57</f>
        <v>4031.8442584833724</v>
      </c>
      <c r="F5" s="17">
        <f>B51*B62</f>
        <v>6311.6669976323019</v>
      </c>
      <c r="G5" s="18"/>
      <c r="H5" s="17"/>
      <c r="I5" s="17"/>
      <c r="J5" s="17">
        <f>B50*B61+C50*C61</f>
        <v>0</v>
      </c>
      <c r="K5" s="17"/>
      <c r="L5" s="17"/>
      <c r="M5" s="17"/>
      <c r="N5" s="17">
        <f>B48*B59+C48*C59</f>
        <v>15289.804571732779</v>
      </c>
      <c r="O5" s="17">
        <f>B69*B70*B71</f>
        <v>368.94666666666672</v>
      </c>
      <c r="P5" s="17">
        <f>B77*B78*B79/1000-B77*B78*B79/1000/B80</f>
        <v>591.06666666666661</v>
      </c>
    </row>
    <row r="6" spans="1:16">
      <c r="A6" s="16" t="s">
        <v>631</v>
      </c>
      <c r="B6" s="844">
        <f>kWh_PV_kleiner_dan_10kW</f>
        <v>4397.7619855287621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44866.600985528763</v>
      </c>
      <c r="C8" s="21">
        <f>C5</f>
        <v>0</v>
      </c>
      <c r="D8" s="21">
        <f>D5</f>
        <v>117966.4205484422</v>
      </c>
      <c r="E8" s="21">
        <f>E5</f>
        <v>4031.8442584833724</v>
      </c>
      <c r="F8" s="21">
        <f>F5</f>
        <v>6311.6669976323019</v>
      </c>
      <c r="G8" s="21"/>
      <c r="H8" s="21"/>
      <c r="I8" s="21"/>
      <c r="J8" s="21">
        <f>J5</f>
        <v>0</v>
      </c>
      <c r="K8" s="21"/>
      <c r="L8" s="21">
        <f>L5</f>
        <v>0</v>
      </c>
      <c r="M8" s="21">
        <f>M5</f>
        <v>0</v>
      </c>
      <c r="N8" s="21">
        <f>N5</f>
        <v>15289.804571732779</v>
      </c>
      <c r="O8" s="21">
        <f>O5</f>
        <v>368.94666666666672</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0.18825951510187292</v>
      </c>
      <c r="C10" s="25">
        <f ca="1">'EF ele_warmte'!B22</f>
        <v>0.21027916892684595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8446.5645458048584</v>
      </c>
      <c r="C12" s="23">
        <f ca="1">C10*C8</f>
        <v>0</v>
      </c>
      <c r="D12" s="23">
        <f>D8*D10</f>
        <v>23829.216950785325</v>
      </c>
      <c r="E12" s="23">
        <f>E10*E8</f>
        <v>915.2286466757256</v>
      </c>
      <c r="F12" s="23">
        <f>F10*F8</f>
        <v>1685.2150883678246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6352</v>
      </c>
      <c r="C18" s="166" t="s">
        <v>111</v>
      </c>
      <c r="D18" s="228"/>
      <c r="E18" s="15"/>
    </row>
    <row r="19" spans="1:7">
      <c r="A19" s="171" t="s">
        <v>72</v>
      </c>
      <c r="B19" s="37">
        <f>aantalw2001_ander</f>
        <v>0</v>
      </c>
      <c r="C19" s="166" t="s">
        <v>111</v>
      </c>
      <c r="D19" s="229"/>
      <c r="E19" s="15"/>
    </row>
    <row r="20" spans="1:7">
      <c r="A20" s="171" t="s">
        <v>73</v>
      </c>
      <c r="B20" s="37">
        <f>aantalw2001_propaan</f>
        <v>112</v>
      </c>
      <c r="C20" s="167">
        <f>IF(ISERROR(B20/SUM($B$20,$B$21,$B$22)*100),0,B20/SUM($B$20,$B$21,$B$22)*100)</f>
        <v>10.9375</v>
      </c>
      <c r="D20" s="229"/>
      <c r="E20" s="15"/>
    </row>
    <row r="21" spans="1:7">
      <c r="A21" s="171" t="s">
        <v>74</v>
      </c>
      <c r="B21" s="37">
        <f>aantalw2001_elektriciteit</f>
        <v>800</v>
      </c>
      <c r="C21" s="167">
        <f>IF(ISERROR(B21/SUM($B$20,$B$21,$B$22)*100),0,B21/SUM($B$20,$B$21,$B$22)*100)</f>
        <v>78.125</v>
      </c>
      <c r="D21" s="229"/>
      <c r="E21" s="15"/>
    </row>
    <row r="22" spans="1:7">
      <c r="A22" s="171" t="s">
        <v>75</v>
      </c>
      <c r="B22" s="37">
        <f>aantalw2001_hout</f>
        <v>112</v>
      </c>
      <c r="C22" s="167">
        <f>IF(ISERROR(B22/SUM($B$20,$B$21,$B$22)*100),0,B22/SUM($B$20,$B$21,$B$22)*100)</f>
        <v>10.9375</v>
      </c>
      <c r="D22" s="229"/>
      <c r="E22" s="15"/>
    </row>
    <row r="23" spans="1:7">
      <c r="A23" s="171" t="s">
        <v>76</v>
      </c>
      <c r="B23" s="37">
        <f>aantalw2001_niet_gespec</f>
        <v>177</v>
      </c>
      <c r="C23" s="166" t="s">
        <v>111</v>
      </c>
      <c r="D23" s="228"/>
      <c r="E23" s="15"/>
    </row>
    <row r="24" spans="1:7">
      <c r="A24" s="171" t="s">
        <v>77</v>
      </c>
      <c r="B24" s="37">
        <f>aantalw2001_steenkool</f>
        <v>204</v>
      </c>
      <c r="C24" s="166" t="s">
        <v>111</v>
      </c>
      <c r="D24" s="229"/>
      <c r="E24" s="15"/>
    </row>
    <row r="25" spans="1:7">
      <c r="A25" s="171" t="s">
        <v>78</v>
      </c>
      <c r="B25" s="37">
        <f>aantalw2001_stookolie</f>
        <v>2528</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740</v>
      </c>
      <c r="B28" s="37">
        <f>aantalHuishoudens2011</f>
        <v>11634</v>
      </c>
      <c r="C28" s="36"/>
      <c r="D28" s="228"/>
    </row>
    <row r="29" spans="1:7" s="15" customFormat="1">
      <c r="A29" s="230" t="s">
        <v>741</v>
      </c>
      <c r="B29" s="37">
        <f>SUM(HH_hh_gas_aantal,HH_rest_gas_aantal)</f>
        <v>8876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8876</v>
      </c>
      <c r="C32" s="167">
        <f>IF(ISERROR(B32/SUM($B$32,$B$34,$B$35,$B$36,$B$38,$B$39)*100),0,B32/SUM($B$32,$B$34,$B$35,$B$36,$B$38,$B$39)*100)</f>
        <v>76.497457554080853</v>
      </c>
      <c r="D32" s="233"/>
      <c r="G32" s="15"/>
    </row>
    <row r="33" spans="1:7">
      <c r="A33" s="171" t="s">
        <v>72</v>
      </c>
      <c r="B33" s="34" t="s">
        <v>111</v>
      </c>
      <c r="C33" s="167"/>
      <c r="D33" s="233"/>
      <c r="G33" s="15"/>
    </row>
    <row r="34" spans="1:7">
      <c r="A34" s="171" t="s">
        <v>73</v>
      </c>
      <c r="B34" s="33">
        <f>IF((($B$28-$B$32-$B$39-$B$77-$B$38)*C20/100)&lt;0,0,($B$28-$B$32-$B$39-$B$77-$B$38)*C20/100)</f>
        <v>270.22187500000001</v>
      </c>
      <c r="C34" s="167">
        <f>IF(ISERROR(B34/SUM($B$32,$B$34,$B$35,$B$36,$B$38,$B$39)*100),0,B34/SUM($B$32,$B$34,$B$35,$B$36,$B$38,$B$39)*100)</f>
        <v>2.3288966215633895</v>
      </c>
      <c r="D34" s="233"/>
      <c r="G34" s="15"/>
    </row>
    <row r="35" spans="1:7">
      <c r="A35" s="171" t="s">
        <v>74</v>
      </c>
      <c r="B35" s="33">
        <f>IF((($B$28-$B$32-$B$39-$B$77-$B$38)*C21/100)&lt;0,0,($B$28-$B$32-$B$39-$B$77-$B$38)*C21/100)</f>
        <v>1930.15625</v>
      </c>
      <c r="C35" s="167">
        <f>IF(ISERROR(B35/SUM($B$32,$B$34,$B$35,$B$36,$B$38,$B$39)*100),0,B35/SUM($B$32,$B$34,$B$35,$B$36,$B$38,$B$39)*100)</f>
        <v>16.634975868309922</v>
      </c>
      <c r="D35" s="233"/>
      <c r="G35" s="15"/>
    </row>
    <row r="36" spans="1:7">
      <c r="A36" s="171" t="s">
        <v>75</v>
      </c>
      <c r="B36" s="33">
        <f>IF((($B$28-$B$32-$B$39-$B$77-$B$38)*C22/100)&lt;0,0,($B$28-$B$32-$B$39-$B$77-$B$38)*C22/100)</f>
        <v>270.22187500000001</v>
      </c>
      <c r="C36" s="167">
        <f>IF(ISERROR(B36/SUM($B$32,$B$34,$B$35,$B$36,$B$38,$B$39)*100),0,B36/SUM($B$32,$B$34,$B$35,$B$36,$B$38,$B$39)*100)</f>
        <v>2.3288966215633895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256.40000000000009</v>
      </c>
      <c r="C39" s="167">
        <f>IF(ISERROR(B39/SUM($B$32,$B$34,$B$35,$B$36,$B$38,$B$39)*100),0,B39/SUM($B$32,$B$34,$B$35,$B$36,$B$38,$B$39)*100)</f>
        <v>2.2097733344824624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8876</v>
      </c>
      <c r="C44" s="34" t="s">
        <v>111</v>
      </c>
      <c r="D44" s="174"/>
    </row>
    <row r="45" spans="1:7">
      <c r="A45" s="171" t="s">
        <v>72</v>
      </c>
      <c r="B45" s="33" t="str">
        <f t="shared" si="0"/>
        <v>-</v>
      </c>
      <c r="C45" s="34" t="s">
        <v>111</v>
      </c>
      <c r="D45" s="174"/>
    </row>
    <row r="46" spans="1:7">
      <c r="A46" s="171" t="s">
        <v>73</v>
      </c>
      <c r="B46" s="33">
        <f t="shared" si="0"/>
        <v>270.22187500000001</v>
      </c>
      <c r="C46" s="34" t="s">
        <v>111</v>
      </c>
      <c r="D46" s="174"/>
    </row>
    <row r="47" spans="1:7">
      <c r="A47" s="171" t="s">
        <v>74</v>
      </c>
      <c r="B47" s="33">
        <f t="shared" si="0"/>
        <v>1930.15625</v>
      </c>
      <c r="C47" s="34" t="s">
        <v>111</v>
      </c>
      <c r="D47" s="174"/>
    </row>
    <row r="48" spans="1:7">
      <c r="A48" s="171" t="s">
        <v>75</v>
      </c>
      <c r="B48" s="33">
        <f t="shared" si="0"/>
        <v>270.22187500000001</v>
      </c>
      <c r="C48" s="33">
        <f>B48*10</f>
        <v>2702.21875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256.40000000000009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58042.748999999996</v>
      </c>
      <c r="C5" s="17">
        <f>IF(ISERROR('Eigen informatie GS &amp; warmtenet'!B58),0,'Eigen informatie GS &amp; warmtenet'!B58)</f>
        <v>0</v>
      </c>
      <c r="D5" s="30">
        <f>SUM(D6:D12)</f>
        <v>90701.879113999996</v>
      </c>
      <c r="E5" s="17">
        <f>SUM(E6:E12)</f>
        <v>514.0355320021539</v>
      </c>
      <c r="F5" s="17">
        <f>SUM(F6:F12)</f>
        <v>8729.180598081799</v>
      </c>
      <c r="G5" s="18"/>
      <c r="H5" s="17"/>
      <c r="I5" s="17"/>
      <c r="J5" s="17">
        <f>SUM(J6:J12)</f>
        <v>0</v>
      </c>
      <c r="K5" s="17"/>
      <c r="L5" s="17"/>
      <c r="M5" s="17"/>
      <c r="N5" s="17">
        <f>SUM(N6:N12)</f>
        <v>8759.3764074153587</v>
      </c>
      <c r="O5" s="17">
        <f>B38*B39*B40</f>
        <v>1.5633333333333335</v>
      </c>
      <c r="P5" s="17">
        <f>B46*B47*B48/1000-B46*B47*B48/1000/B49</f>
        <v>114.4</v>
      </c>
      <c r="R5" s="32"/>
    </row>
    <row r="6" spans="1:18">
      <c r="A6" s="32" t="s">
        <v>54</v>
      </c>
      <c r="B6" s="37">
        <f>B26</f>
        <v>8769.6010000000006</v>
      </c>
      <c r="C6" s="33"/>
      <c r="D6" s="37">
        <f>IF(ISERROR(TER_kantoor_gas_kWh/1000),0,TER_kantoor_gas_kWh/1000)*0.902</f>
        <v>10123.424718</v>
      </c>
      <c r="E6" s="33">
        <f>$C$26*'E Balans VL '!I12/100/3.6*1000000</f>
        <v>25.406820779908816</v>
      </c>
      <c r="F6" s="33">
        <f>$C$26*('E Balans VL '!L12+'E Balans VL '!N12)/100/3.6*1000000</f>
        <v>992.52562391000083</v>
      </c>
      <c r="G6" s="34"/>
      <c r="H6" s="33"/>
      <c r="I6" s="33"/>
      <c r="J6" s="33">
        <f>$C$26*('E Balans VL '!D12+'E Balans VL '!E12)/100/3.6*1000000</f>
        <v>0</v>
      </c>
      <c r="K6" s="33"/>
      <c r="L6" s="33"/>
      <c r="M6" s="33"/>
      <c r="N6" s="33">
        <f>$C$26*'E Balans VL '!Y12/100/3.6*1000000</f>
        <v>87.7772442794749</v>
      </c>
      <c r="O6" s="33"/>
      <c r="P6" s="33"/>
      <c r="R6" s="32"/>
    </row>
    <row r="7" spans="1:18">
      <c r="A7" s="32" t="s">
        <v>53</v>
      </c>
      <c r="B7" s="37">
        <f t="shared" ref="B7:B12" si="0">B27</f>
        <v>1960.15</v>
      </c>
      <c r="C7" s="33"/>
      <c r="D7" s="37">
        <f>IF(ISERROR(TER_horeca_gas_kWh/1000),0,TER_horeca_gas_kWh/1000)*0.902</f>
        <v>3367.4618559999999</v>
      </c>
      <c r="E7" s="33">
        <f>$C$27*'E Balans VL '!I9/100/3.6*1000000</f>
        <v>82.281620449137648</v>
      </c>
      <c r="F7" s="33">
        <f>$C$27*('E Balans VL '!L9+'E Balans VL '!N9)/100/3.6*1000000</f>
        <v>421.1784241615901</v>
      </c>
      <c r="G7" s="34"/>
      <c r="H7" s="33"/>
      <c r="I7" s="33"/>
      <c r="J7" s="33">
        <f>$C$27*('E Balans VL '!D9+'E Balans VL '!E9)/100/3.6*1000000</f>
        <v>0</v>
      </c>
      <c r="K7" s="33"/>
      <c r="L7" s="33"/>
      <c r="M7" s="33"/>
      <c r="N7" s="33">
        <f>$C$27*'E Balans VL '!Y9/100/3.6*1000000</f>
        <v>0.50511351286637951</v>
      </c>
      <c r="O7" s="33"/>
      <c r="P7" s="33"/>
      <c r="R7" s="32"/>
    </row>
    <row r="8" spans="1:18">
      <c r="A8" s="6" t="s">
        <v>52</v>
      </c>
      <c r="B8" s="37">
        <f t="shared" si="0"/>
        <v>33928.932000000001</v>
      </c>
      <c r="C8" s="33"/>
      <c r="D8" s="37">
        <f>IF(ISERROR(TER_handel_gas_kWh/1000),0,TER_handel_gas_kWh/1000)*0.902</f>
        <v>64792.217753999998</v>
      </c>
      <c r="E8" s="33">
        <f>$C$28*'E Balans VL '!I13/100/3.6*1000000</f>
        <v>364.42496792738655</v>
      </c>
      <c r="F8" s="33">
        <f>$C$28*('E Balans VL '!L13+'E Balans VL '!N13)/100/3.6*1000000</f>
        <v>4392.3804267446176</v>
      </c>
      <c r="G8" s="34"/>
      <c r="H8" s="33"/>
      <c r="I8" s="33"/>
      <c r="J8" s="33">
        <f>$C$28*('E Balans VL '!D13+'E Balans VL '!E13)/100/3.6*1000000</f>
        <v>0</v>
      </c>
      <c r="K8" s="33"/>
      <c r="L8" s="33"/>
      <c r="M8" s="33"/>
      <c r="N8" s="33">
        <f>$C$28*'E Balans VL '!Y13/100/3.6*1000000</f>
        <v>275.23334898423747</v>
      </c>
      <c r="O8" s="33"/>
      <c r="P8" s="33"/>
      <c r="R8" s="32"/>
    </row>
    <row r="9" spans="1:18">
      <c r="A9" s="32" t="s">
        <v>51</v>
      </c>
      <c r="B9" s="37">
        <f t="shared" si="0"/>
        <v>877.649</v>
      </c>
      <c r="C9" s="33"/>
      <c r="D9" s="37">
        <f>IF(ISERROR(TER_gezond_gas_kWh/1000),0,TER_gezond_gas_kWh/1000)*0.902</f>
        <v>986.61842399999989</v>
      </c>
      <c r="E9" s="33">
        <f>$C$29*'E Balans VL '!I10/100/3.6*1000000</f>
        <v>0.69866536881654562</v>
      </c>
      <c r="F9" s="33">
        <f>$C$29*('E Balans VL '!L10+'E Balans VL '!N10)/100/3.6*1000000</f>
        <v>106.69091912042828</v>
      </c>
      <c r="G9" s="34"/>
      <c r="H9" s="33"/>
      <c r="I9" s="33"/>
      <c r="J9" s="33">
        <f>$C$29*('E Balans VL '!D10+'E Balans VL '!E10)/100/3.6*1000000</f>
        <v>0</v>
      </c>
      <c r="K9" s="33"/>
      <c r="L9" s="33"/>
      <c r="M9" s="33"/>
      <c r="N9" s="33">
        <f>$C$29*'E Balans VL '!Y10/100/3.6*1000000</f>
        <v>7.089416104174731</v>
      </c>
      <c r="O9" s="33"/>
      <c r="P9" s="33"/>
      <c r="R9" s="32"/>
    </row>
    <row r="10" spans="1:18">
      <c r="A10" s="32" t="s">
        <v>50</v>
      </c>
      <c r="B10" s="37">
        <f t="shared" si="0"/>
        <v>11908.164000000001</v>
      </c>
      <c r="C10" s="33"/>
      <c r="D10" s="37">
        <f>IF(ISERROR(TER_ander_gas_kWh/1000),0,TER_ander_gas_kWh/1000)*0.902</f>
        <v>8949.5970960000013</v>
      </c>
      <c r="E10" s="33">
        <f>$C$30*'E Balans VL '!I14/100/3.6*1000000</f>
        <v>40.809903602746665</v>
      </c>
      <c r="F10" s="33">
        <f>$C$30*('E Balans VL '!L14+'E Balans VL '!N14)/100/3.6*1000000</f>
        <v>2659.7999468156818</v>
      </c>
      <c r="G10" s="34"/>
      <c r="H10" s="33"/>
      <c r="I10" s="33"/>
      <c r="J10" s="33">
        <f>$C$30*('E Balans VL '!D14+'E Balans VL '!E14)/100/3.6*1000000</f>
        <v>0</v>
      </c>
      <c r="K10" s="33"/>
      <c r="L10" s="33"/>
      <c r="M10" s="33"/>
      <c r="N10" s="33">
        <f>$C$30*'E Balans VL '!Y14/100/3.6*1000000</f>
        <v>8388.1757746283201</v>
      </c>
      <c r="O10" s="33"/>
      <c r="P10" s="33"/>
      <c r="R10" s="32"/>
    </row>
    <row r="11" spans="1:18">
      <c r="A11" s="32" t="s">
        <v>55</v>
      </c>
      <c r="B11" s="37">
        <f t="shared" si="0"/>
        <v>598.25300000000004</v>
      </c>
      <c r="C11" s="33"/>
      <c r="D11" s="37">
        <f>IF(ISERROR(TER_onderwijs_gas_kWh/1000),0,TER_onderwijs_gas_kWh/1000)*0.902</f>
        <v>2482.5592659999998</v>
      </c>
      <c r="E11" s="33">
        <f>$C$31*'E Balans VL '!I11/100/3.6*1000000</f>
        <v>0.4135538741576501</v>
      </c>
      <c r="F11" s="33">
        <f>$C$31*('E Balans VL '!L11+'E Balans VL '!N11)/100/3.6*1000000</f>
        <v>156.60525732948039</v>
      </c>
      <c r="G11" s="34"/>
      <c r="H11" s="33"/>
      <c r="I11" s="33"/>
      <c r="J11" s="33">
        <f>$C$31*('E Balans VL '!D11+'E Balans VL '!E11)/100/3.6*1000000</f>
        <v>0</v>
      </c>
      <c r="K11" s="33"/>
      <c r="L11" s="33"/>
      <c r="M11" s="33"/>
      <c r="N11" s="33">
        <f>$C$31*'E Balans VL '!Y11/100/3.6*1000000</f>
        <v>0.59550990628438782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1341</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-3831.4285714285716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59383.748999999996</v>
      </c>
      <c r="C16" s="21">
        <f t="shared" ca="1" si="1"/>
        <v>0</v>
      </c>
      <c r="D16" s="21">
        <f t="shared" ca="1" si="1"/>
        <v>90701.879113999996</v>
      </c>
      <c r="E16" s="21">
        <f t="shared" si="1"/>
        <v>514.0355320021539</v>
      </c>
      <c r="F16" s="21">
        <f t="shared" ca="1" si="1"/>
        <v>8729.180598081799</v>
      </c>
      <c r="G16" s="21">
        <f t="shared" si="1"/>
        <v>0</v>
      </c>
      <c r="H16" s="21">
        <f t="shared" si="1"/>
        <v>0</v>
      </c>
      <c r="I16" s="21">
        <f t="shared" si="1"/>
        <v>0</v>
      </c>
      <c r="J16" s="21">
        <f t="shared" si="1"/>
        <v>0</v>
      </c>
      <c r="K16" s="21">
        <f t="shared" si="1"/>
        <v>0</v>
      </c>
      <c r="L16" s="21">
        <f t="shared" ca="1" si="1"/>
        <v>0</v>
      </c>
      <c r="M16" s="21">
        <f t="shared" si="1"/>
        <v>0</v>
      </c>
      <c r="N16" s="21">
        <f t="shared" ca="1" si="1"/>
        <v>4927.9478359867871</v>
      </c>
      <c r="O16" s="21">
        <f>O5</f>
        <v>1.5633333333333335</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0.18825951510187292</v>
      </c>
      <c r="C18" s="25">
        <f ca="1">'EF ele_warmte'!B22</f>
        <v>0.21027916892684595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11179.55579167133</v>
      </c>
      <c r="C20" s="23">
        <f t="shared" ref="C20:P20" ca="1" si="2">C16*C18</f>
        <v>0</v>
      </c>
      <c r="D20" s="23">
        <f t="shared" ca="1" si="2"/>
        <v>18321.779581028</v>
      </c>
      <c r="E20" s="23">
        <f t="shared" si="2"/>
        <v>116.68606576448894</v>
      </c>
      <c r="F20" s="23">
        <f t="shared" ca="1" si="2"/>
        <v>2330.6912196878407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8769.6010000000006</v>
      </c>
      <c r="C26" s="39">
        <f>IF(ISERROR(B26*3.6/1000000/'E Balans VL '!Z12*100),0,B26*3.6/1000000/'E Balans VL '!Z12*100)</f>
        <v>0.1926344246390149</v>
      </c>
      <c r="D26" s="237" t="s">
        <v>692</v>
      </c>
      <c r="F26" s="6"/>
    </row>
    <row r="27" spans="1:18">
      <c r="A27" s="231" t="s">
        <v>53</v>
      </c>
      <c r="B27" s="33">
        <f>IF(ISERROR(TER_horeca_ele_kWh/1000),0,TER_horeca_ele_kWh/1000)</f>
        <v>1960.15</v>
      </c>
      <c r="C27" s="39">
        <f>IF(ISERROR(B27*3.6/1000000/'E Balans VL '!Z9*100),0,B27*3.6/1000000/'E Balans VL '!Z9*100)</f>
        <v>0.15751759150597677</v>
      </c>
      <c r="D27" s="237" t="s">
        <v>692</v>
      </c>
      <c r="F27" s="6"/>
    </row>
    <row r="28" spans="1:18">
      <c r="A28" s="171" t="s">
        <v>52</v>
      </c>
      <c r="B28" s="33">
        <f>IF(ISERROR(TER_handel_ele_kWh/1000),0,TER_handel_ele_kWh/1000)</f>
        <v>33928.932000000001</v>
      </c>
      <c r="C28" s="39">
        <f>IF(ISERROR(B28*3.6/1000000/'E Balans VL '!Z13*100),0,B28*3.6/1000000/'E Balans VL '!Z13*100)</f>
        <v>1.003254815990418</v>
      </c>
      <c r="D28" s="237" t="s">
        <v>692</v>
      </c>
      <c r="F28" s="6"/>
    </row>
    <row r="29" spans="1:18">
      <c r="A29" s="231" t="s">
        <v>51</v>
      </c>
      <c r="B29" s="33">
        <f>IF(ISERROR(TER_gezond_ele_kWh/1000),0,TER_gezond_ele_kWh/1000)</f>
        <v>877.649</v>
      </c>
      <c r="C29" s="39">
        <f>IF(ISERROR(B29*3.6/1000000/'E Balans VL '!Z10*100),0,B29*3.6/1000000/'E Balans VL '!Z10*100)</f>
        <v>9.8888383400207058E-2</v>
      </c>
      <c r="D29" s="237" t="s">
        <v>692</v>
      </c>
      <c r="F29" s="6"/>
    </row>
    <row r="30" spans="1:18">
      <c r="A30" s="231" t="s">
        <v>50</v>
      </c>
      <c r="B30" s="33">
        <f>IF(ISERROR(TER_ander_ele_kWh/1000),0,TER_ander_ele_kWh/1000)</f>
        <v>11908.164000000001</v>
      </c>
      <c r="C30" s="39">
        <f>IF(ISERROR(B30*3.6/1000000/'E Balans VL '!Z14*100),0,B30*3.6/1000000/'E Balans VL '!Z14*100)</f>
        <v>0.90059408723312784</v>
      </c>
      <c r="D30" s="237" t="s">
        <v>692</v>
      </c>
      <c r="F30" s="6"/>
    </row>
    <row r="31" spans="1:18">
      <c r="A31" s="231" t="s">
        <v>55</v>
      </c>
      <c r="B31" s="33">
        <f>IF(ISERROR(TER_onderwijs_ele_kWh/1000),0,TER_onderwijs_ele_kWh/1000)</f>
        <v>598.25300000000004</v>
      </c>
      <c r="C31" s="39">
        <f>IF(ISERROR(B31*3.6/1000000/'E Balans VL '!Z11*100),0,B31*3.6/1000000/'E Balans VL '!Z11*100)</f>
        <v>0.12418343495281618</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6</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45959.048000000003</v>
      </c>
      <c r="C5" s="17">
        <f>IF(ISERROR('Eigen informatie GS &amp; warmtenet'!B59),0,'Eigen informatie GS &amp; warmtenet'!B59)</f>
        <v>0</v>
      </c>
      <c r="D5" s="30">
        <f>SUM(D6:D15)</f>
        <v>70749.457811999993</v>
      </c>
      <c r="E5" s="17">
        <f>SUM(E6:E15)</f>
        <v>3973.132729363952</v>
      </c>
      <c r="F5" s="17">
        <f>SUM(F6:F15)</f>
        <v>21879.101256633829</v>
      </c>
      <c r="G5" s="18"/>
      <c r="H5" s="17"/>
      <c r="I5" s="17"/>
      <c r="J5" s="17">
        <f>SUM(J6:J15)</f>
        <v>151.40137114660803</v>
      </c>
      <c r="K5" s="17"/>
      <c r="L5" s="17"/>
      <c r="M5" s="17"/>
      <c r="N5" s="17">
        <f>SUM(N6:N15)</f>
        <v>8661.2334186023963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78.019000000000005</v>
      </c>
      <c r="C7" s="33"/>
      <c r="D7" s="37">
        <f>IF( ISERROR(IND_nonf_gas_kWhh/1000),0,IND_nonf_gas_kWh/1000)*0.902</f>
        <v>0</v>
      </c>
      <c r="E7" s="33">
        <f>C29*'E Balans VL '!I17/100/3.6*1000000</f>
        <v>0.33457322752093804</v>
      </c>
      <c r="F7" s="33">
        <f>C29*'E Balans VL '!L17/100/3.6*1000000+C29*'E Balans VL '!N17/100/3.6*1000000</f>
        <v>15.469697404312909</v>
      </c>
      <c r="G7" s="34"/>
      <c r="H7" s="33"/>
      <c r="I7" s="33"/>
      <c r="J7" s="40">
        <f>C29*'E Balans VL '!D17/100/3.6*1000000+C29*'E Balans VL '!E17/100/3.6*1000000</f>
        <v>36.620441623119177</v>
      </c>
      <c r="K7" s="33"/>
      <c r="L7" s="33"/>
      <c r="M7" s="33"/>
      <c r="N7" s="33">
        <f>C29*'E Balans VL '!Y17/100/3.6*1000000</f>
        <v>0</v>
      </c>
      <c r="O7" s="33"/>
      <c r="P7" s="33"/>
      <c r="R7" s="32"/>
    </row>
    <row r="8" spans="1:18">
      <c r="A8" s="6" t="s">
        <v>36</v>
      </c>
      <c r="B8" s="37">
        <f t="shared" si="0"/>
        <v>5129.3010000000004</v>
      </c>
      <c r="C8" s="33"/>
      <c r="D8" s="37">
        <f>IF( ISERROR(IND_metaal_Gas_kWH/1000),0,IND_metaal_Gas_kWH/1000)*0.902</f>
        <v>2815.0923900000003</v>
      </c>
      <c r="E8" s="33">
        <f>C30*'E Balans VL '!I18/100/3.6*1000000</f>
        <v>128.36845186110017</v>
      </c>
      <c r="F8" s="33">
        <f>C30*'E Balans VL '!L18/100/3.6*1000000+C30*'E Balans VL '!N18/100/3.6*1000000</f>
        <v>1607.5484478553312</v>
      </c>
      <c r="G8" s="34"/>
      <c r="H8" s="33"/>
      <c r="I8" s="33"/>
      <c r="J8" s="40">
        <f>C30*'E Balans VL '!D18/100/3.6*1000000+C30*'E Balans VL '!E18/100/3.6*1000000</f>
        <v>0</v>
      </c>
      <c r="K8" s="33"/>
      <c r="L8" s="33"/>
      <c r="M8" s="33"/>
      <c r="N8" s="33">
        <f>C30*'E Balans VL '!Y18/100/3.6*1000000</f>
        <v>128.86135281688394</v>
      </c>
      <c r="O8" s="33"/>
      <c r="P8" s="33"/>
      <c r="R8" s="32"/>
    </row>
    <row r="9" spans="1:18">
      <c r="A9" s="6" t="s">
        <v>33</v>
      </c>
      <c r="B9" s="37">
        <f t="shared" si="0"/>
        <v>13592.732</v>
      </c>
      <c r="C9" s="33"/>
      <c r="D9" s="37">
        <f>IF( ISERROR(IND_andere_gas_kWh/1000),0,IND_andere_gas_kWh/1000)*0.902</f>
        <v>5685.6875460000001</v>
      </c>
      <c r="E9" s="33">
        <f>C31*'E Balans VL '!I19/100/3.6*1000000</f>
        <v>3737.4437933413433</v>
      </c>
      <c r="F9" s="33">
        <f>C31*'E Balans VL '!L19/100/3.6*1000000+C31*'E Balans VL '!N19/100/3.6*1000000</f>
        <v>10713.438121192086</v>
      </c>
      <c r="G9" s="34"/>
      <c r="H9" s="33"/>
      <c r="I9" s="33"/>
      <c r="J9" s="40">
        <f>C31*'E Balans VL '!D19/100/3.6*1000000+C31*'E Balans VL '!E19/100/3.6*1000000</f>
        <v>0</v>
      </c>
      <c r="K9" s="33"/>
      <c r="L9" s="33"/>
      <c r="M9" s="33"/>
      <c r="N9" s="33">
        <f>C31*'E Balans VL '!Y19/100/3.6*1000000</f>
        <v>4400.326136485507</v>
      </c>
      <c r="O9" s="33"/>
      <c r="P9" s="33"/>
      <c r="R9" s="32"/>
    </row>
    <row r="10" spans="1:18">
      <c r="A10" s="6" t="s">
        <v>41</v>
      </c>
      <c r="B10" s="37">
        <f t="shared" si="0"/>
        <v>4587.4269999999997</v>
      </c>
      <c r="C10" s="33"/>
      <c r="D10" s="37">
        <f>IF( ISERROR(IND_voed_gas_kWh/1000),0,IND_voed_gas_kWh/1000)*0.902</f>
        <v>10224.231335999999</v>
      </c>
      <c r="E10" s="33">
        <f>C32*'E Balans VL '!I20/100/3.6*1000000</f>
        <v>46.766291037045278</v>
      </c>
      <c r="F10" s="33">
        <f>C32*'E Balans VL '!L20/100/3.6*1000000+C32*'E Balans VL '!N20/100/3.6*1000000</f>
        <v>8665.6209114137419</v>
      </c>
      <c r="G10" s="34"/>
      <c r="H10" s="33"/>
      <c r="I10" s="33"/>
      <c r="J10" s="40">
        <f>C32*'E Balans VL '!D20/100/3.6*1000000+C32*'E Balans VL '!E20/100/3.6*1000000</f>
        <v>109.79213823910082</v>
      </c>
      <c r="K10" s="33"/>
      <c r="L10" s="33"/>
      <c r="M10" s="33"/>
      <c r="N10" s="33">
        <f>C32*'E Balans VL '!Y20/100/3.6*1000000</f>
        <v>2418.1024357952747</v>
      </c>
      <c r="O10" s="33"/>
      <c r="P10" s="33"/>
      <c r="R10" s="32"/>
    </row>
    <row r="11" spans="1:18">
      <c r="A11" s="6" t="s">
        <v>40</v>
      </c>
      <c r="B11" s="37">
        <f t="shared" si="0"/>
        <v>15556.243</v>
      </c>
      <c r="C11" s="33"/>
      <c r="D11" s="37">
        <f>IF( ISERROR(IND_textiel_gas_kWh/1000),0,IND_textiel_gas_kWh/1000)*0.902</f>
        <v>42051.567426000001</v>
      </c>
      <c r="E11" s="33">
        <f>C33*'E Balans VL '!I21/100/3.6*1000000</f>
        <v>41.231654336347788</v>
      </c>
      <c r="F11" s="33">
        <f>C33*'E Balans VL '!L21/100/3.6*1000000+C33*'E Balans VL '!N21/100/3.6*1000000</f>
        <v>694.75785983957996</v>
      </c>
      <c r="G11" s="34"/>
      <c r="H11" s="33"/>
      <c r="I11" s="33"/>
      <c r="J11" s="40">
        <f>C33*'E Balans VL '!D21/100/3.6*1000000+C33*'E Balans VL '!E21/100/3.6*1000000</f>
        <v>0</v>
      </c>
      <c r="K11" s="33"/>
      <c r="L11" s="33"/>
      <c r="M11" s="33"/>
      <c r="N11" s="33">
        <f>C33*'E Balans VL '!Y21/100/3.6*1000000</f>
        <v>146.60647001741987</v>
      </c>
      <c r="O11" s="33"/>
      <c r="P11" s="33"/>
      <c r="R11" s="32"/>
    </row>
    <row r="12" spans="1:18">
      <c r="A12" s="6" t="s">
        <v>37</v>
      </c>
      <c r="B12" s="37">
        <f t="shared" si="0"/>
        <v>3288.538</v>
      </c>
      <c r="C12" s="33"/>
      <c r="D12" s="37">
        <f>IF( ISERROR(IND_min_gas_kWh/1000),0,IND_min_gas_kWh/1000)*0.902</f>
        <v>4140.9467000000004</v>
      </c>
      <c r="E12" s="33">
        <f>C34*'E Balans VL '!I22/100/3.6*1000000</f>
        <v>9.9594940221908441</v>
      </c>
      <c r="F12" s="33">
        <f>C34*'E Balans VL '!L22/100/3.6*1000000+C34*'E Balans VL '!N22/100/3.6*1000000</f>
        <v>102.76963977485127</v>
      </c>
      <c r="G12" s="34"/>
      <c r="H12" s="33"/>
      <c r="I12" s="33"/>
      <c r="J12" s="40">
        <f>C34*'E Balans VL '!D22/100/3.6*1000000+C34*'E Balans VL '!E22/100/3.6*1000000</f>
        <v>4.8761718361811139</v>
      </c>
      <c r="K12" s="33"/>
      <c r="L12" s="33"/>
      <c r="M12" s="33"/>
      <c r="N12" s="33">
        <f>C34*'E Balans VL '!Y22/100/3.6*1000000</f>
        <v>0</v>
      </c>
      <c r="O12" s="33"/>
      <c r="P12" s="33"/>
      <c r="R12" s="32"/>
    </row>
    <row r="13" spans="1:18">
      <c r="A13" s="6" t="s">
        <v>39</v>
      </c>
      <c r="B13" s="37">
        <f t="shared" si="0"/>
        <v>3699.944</v>
      </c>
      <c r="C13" s="33"/>
      <c r="D13" s="37">
        <f>IF( ISERROR(IND_papier_gas_kWh/1000),0,IND_papier_gas_kWh/1000)*0.902</f>
        <v>5707.3373500000007</v>
      </c>
      <c r="E13" s="33">
        <f>C35*'E Balans VL '!I23/100/3.6*1000000</f>
        <v>7.6628337642063613</v>
      </c>
      <c r="F13" s="33">
        <f>C35*'E Balans VL '!L23/100/3.6*1000000+C35*'E Balans VL '!N23/100/3.6*1000000</f>
        <v>73.377821569490493</v>
      </c>
      <c r="G13" s="34"/>
      <c r="H13" s="33"/>
      <c r="I13" s="33"/>
      <c r="J13" s="40">
        <f>C35*'E Balans VL '!D23/100/3.6*1000000+C35*'E Balans VL '!E23/100/3.6*1000000</f>
        <v>0</v>
      </c>
      <c r="K13" s="33"/>
      <c r="L13" s="33"/>
      <c r="M13" s="33"/>
      <c r="N13" s="33">
        <f>C35*'E Balans VL '!Y23/100/3.6*1000000</f>
        <v>1562.2934686062897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26.844000000000001</v>
      </c>
      <c r="C15" s="33"/>
      <c r="D15" s="37">
        <f>IF( ISERROR(IND_rest_gas_kWh/1000),0,IND_rest_gas_kWh/1000)*0.902</f>
        <v>124.59506400000001</v>
      </c>
      <c r="E15" s="33">
        <f>C37*'E Balans VL '!I15/100/3.6*1000000</f>
        <v>1.3656377741971339</v>
      </c>
      <c r="F15" s="33">
        <f>C37*'E Balans VL '!L15/100/3.6*1000000+C37*'E Balans VL '!N15/100/3.6*1000000</f>
        <v>6.1187575844296997</v>
      </c>
      <c r="G15" s="34"/>
      <c r="H15" s="33"/>
      <c r="I15" s="33"/>
      <c r="J15" s="40">
        <f>C37*'E Balans VL '!D15/100/3.6*1000000+C37*'E Balans VL '!E15/100/3.6*1000000</f>
        <v>0.1126194482069106</v>
      </c>
      <c r="K15" s="33"/>
      <c r="L15" s="33"/>
      <c r="M15" s="33"/>
      <c r="N15" s="33">
        <f>C37*'E Balans VL '!Y15/100/3.6*1000000</f>
        <v>5.0435548810223763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45959.048000000003</v>
      </c>
      <c r="C18" s="21">
        <f>C5+C16</f>
        <v>0</v>
      </c>
      <c r="D18" s="21">
        <f>MAX((D5+D16),0)</f>
        <v>70749.457811999993</v>
      </c>
      <c r="E18" s="21">
        <f>MAX((E5+E16),0)</f>
        <v>3973.132729363952</v>
      </c>
      <c r="F18" s="21">
        <f>MAX((F5+F16),0)</f>
        <v>21879.101256633829</v>
      </c>
      <c r="G18" s="21"/>
      <c r="H18" s="21"/>
      <c r="I18" s="21"/>
      <c r="J18" s="21">
        <f>MAX((J5+J16),0)</f>
        <v>151.40137114660803</v>
      </c>
      <c r="K18" s="21"/>
      <c r="L18" s="21">
        <f>MAX((L5+L16),0)</f>
        <v>0</v>
      </c>
      <c r="M18" s="21"/>
      <c r="N18" s="21">
        <f>MAX((N5+N16),0)</f>
        <v>8661.2334186023963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0.18825951510187292</v>
      </c>
      <c r="C20" s="25">
        <f ca="1">'EF ele_warmte'!B22</f>
        <v>0.21027916892684595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8652.2280910237023</v>
      </c>
      <c r="C22" s="23">
        <f ca="1">C18*C20</f>
        <v>0</v>
      </c>
      <c r="D22" s="23">
        <f>D18*D20</f>
        <v>14291.390478023999</v>
      </c>
      <c r="E22" s="23">
        <f>E18*E20</f>
        <v>901.90112956561711</v>
      </c>
      <c r="F22" s="23">
        <f>F18*F20</f>
        <v>5841.7200355212326</v>
      </c>
      <c r="G22" s="23"/>
      <c r="H22" s="23"/>
      <c r="I22" s="23"/>
      <c r="J22" s="23">
        <f>J18*J20</f>
        <v>53.596085385899237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78.019000000000005</v>
      </c>
      <c r="C29" s="39">
        <f>IF(ISERROR(B29*3.6/1000000/'E Balans VL '!Z17*100),0,B29*3.6/1000000/'E Balans VL '!Z17*100)</f>
        <v>8.7845362976580563E-2</v>
      </c>
      <c r="D29" s="237" t="s">
        <v>692</v>
      </c>
    </row>
    <row r="30" spans="1:18">
      <c r="A30" s="171" t="s">
        <v>36</v>
      </c>
      <c r="B30" s="37">
        <f>IF( ISERROR(IND_metaal_ele_kWh/1000),0,IND_metaal_ele_kWh/1000)</f>
        <v>5129.3010000000004</v>
      </c>
      <c r="C30" s="39">
        <f>IF(ISERROR(B30*3.6/1000000/'E Balans VL '!Z18*100),0,B30*3.6/1000000/'E Balans VL '!Z18*100)</f>
        <v>0.7179312041557947</v>
      </c>
      <c r="D30" s="237" t="s">
        <v>692</v>
      </c>
    </row>
    <row r="31" spans="1:18">
      <c r="A31" s="6" t="s">
        <v>33</v>
      </c>
      <c r="B31" s="37">
        <f>IF( ISERROR(IND_ander_ele_kWh/1000),0,IND_ander_ele_kWh/1000)</f>
        <v>13592.732</v>
      </c>
      <c r="C31" s="39">
        <f>IF(ISERROR(B31*3.6/1000000/'E Balans VL '!Z19*100),0,B31*3.6/1000000/'E Balans VL '!Z19*100)</f>
        <v>0.59495167458558795</v>
      </c>
      <c r="D31" s="237" t="s">
        <v>692</v>
      </c>
    </row>
    <row r="32" spans="1:18">
      <c r="A32" s="171" t="s">
        <v>41</v>
      </c>
      <c r="B32" s="37">
        <f>IF( ISERROR(IND_voed_ele_kWh/1000),0,IND_voed_ele_kWh/1000)</f>
        <v>4587.4269999999997</v>
      </c>
      <c r="C32" s="39">
        <f>IF(ISERROR(B32*3.6/1000000/'E Balans VL '!Z20*100),0,B32*3.6/1000000/'E Balans VL '!Z20*100)</f>
        <v>1.1356945842636199</v>
      </c>
      <c r="D32" s="237" t="s">
        <v>692</v>
      </c>
    </row>
    <row r="33" spans="1:5">
      <c r="A33" s="171" t="s">
        <v>40</v>
      </c>
      <c r="B33" s="37">
        <f>IF( ISERROR(IND_textiel_ele_kWh/1000),0,IND_textiel_ele_kWh/1000)</f>
        <v>15556.243</v>
      </c>
      <c r="C33" s="39">
        <f>IF(ISERROR(B33*3.6/1000000/'E Balans VL '!Z21*100),0,B33*3.6/1000000/'E Balans VL '!Z21*100)</f>
        <v>1.7529145603549499</v>
      </c>
      <c r="D33" s="237" t="s">
        <v>692</v>
      </c>
    </row>
    <row r="34" spans="1:5">
      <c r="A34" s="171" t="s">
        <v>37</v>
      </c>
      <c r="B34" s="37">
        <f>IF( ISERROR(IND_min_ele_kWh/1000),0,IND_min_ele_kWh/1000)</f>
        <v>3288.538</v>
      </c>
      <c r="C34" s="39">
        <f>IF(ISERROR(B34*3.6/1000000/'E Balans VL '!Z22*100),0,B34*3.6/1000000/'E Balans VL '!Z22*100)</f>
        <v>9.3315291926023239E-2</v>
      </c>
      <c r="D34" s="237" t="s">
        <v>692</v>
      </c>
    </row>
    <row r="35" spans="1:5">
      <c r="A35" s="171" t="s">
        <v>39</v>
      </c>
      <c r="B35" s="37">
        <f>IF( ISERROR(IND_papier_ele_kWh/1000),0,IND_papier_ele_kWh/1000)</f>
        <v>3699.944</v>
      </c>
      <c r="C35" s="39">
        <f>IF(ISERROR(B35*3.6/1000000/'E Balans VL '!Z22*100),0,B35*3.6/1000000/'E Balans VL '!Z22*100)</f>
        <v>0.10498931575975042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26.844000000000001</v>
      </c>
      <c r="C37" s="39">
        <f>IF(ISERROR(B37*3.6/1000000/'E Balans VL '!Z15*100),0,B37*3.6/1000000/'E Balans VL '!Z15*100)</f>
        <v>1.9904366411271839E-4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2353.2910000000002</v>
      </c>
      <c r="C5" s="17">
        <f>'Eigen informatie GS &amp; warmtenet'!B60</f>
        <v>0</v>
      </c>
      <c r="D5" s="30">
        <f>IF(ISERROR(SUM(LB_lb_gas_kWh,LB_rest_gas_kWh,onbekend_gas_kWh)/1000),0,SUM(LB_lb_gas_kWh,LB_rest_gas_kWh,onbekend_gas_kWh)/1000)*0.902</f>
        <v>17562.610185999998</v>
      </c>
      <c r="E5" s="17">
        <f>B17*'E Balans VL '!I25/3.6*1000000/100</f>
        <v>21.797166890873541</v>
      </c>
      <c r="F5" s="17">
        <f>B17*('E Balans VL '!L25/3.6*1000000+'E Balans VL '!N25/3.6*1000000)/100</f>
        <v>5970.7475684754445</v>
      </c>
      <c r="G5" s="18"/>
      <c r="H5" s="17"/>
      <c r="I5" s="17"/>
      <c r="J5" s="17">
        <f>('E Balans VL '!D25+'E Balans VL '!E25)/3.6*1000000*landbouw!B17/100</f>
        <v>360.78577310421053</v>
      </c>
      <c r="K5" s="17"/>
      <c r="L5" s="17">
        <f>L6*(-1)</f>
        <v>0</v>
      </c>
      <c r="M5" s="17"/>
      <c r="N5" s="17">
        <f>N6*(-1)</f>
        <v>6904.2857142857147</v>
      </c>
      <c r="O5" s="17"/>
      <c r="P5" s="17"/>
      <c r="R5" s="32"/>
    </row>
    <row r="6" spans="1:18">
      <c r="A6" s="16" t="s">
        <v>494</v>
      </c>
      <c r="B6" s="17" t="s">
        <v>211</v>
      </c>
      <c r="C6" s="17">
        <f>'lokale energieproductie'!O91+'lokale energieproductie'!O60</f>
        <v>29976.428571428572</v>
      </c>
      <c r="D6" s="310">
        <f>('lokale energieproductie'!P60+'lokale energieproductie'!P91)*(-1)</f>
        <v>-53048.571428571435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-6904.2857142857147</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2353.2910000000002</v>
      </c>
      <c r="C8" s="21">
        <f>C5+C6</f>
        <v>29976.428571428572</v>
      </c>
      <c r="D8" s="21">
        <f>MAX((D5+D6),0)</f>
        <v>0</v>
      </c>
      <c r="E8" s="21">
        <f>MAX((E5+E6),0)</f>
        <v>21.797166890873541</v>
      </c>
      <c r="F8" s="21">
        <f>MAX((F5+F6),0)</f>
        <v>5970.7475684754445</v>
      </c>
      <c r="G8" s="21"/>
      <c r="H8" s="21"/>
      <c r="I8" s="21"/>
      <c r="J8" s="21">
        <f>MAX((J5+J6),0)</f>
        <v>360.78577310421053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0.18825951510187292</v>
      </c>
      <c r="C10" s="31">
        <f ca="1">'EF ele_warmte'!B22</f>
        <v>0.21027916892684595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443.02942255360165</v>
      </c>
      <c r="C12" s="23">
        <f ca="1">C8*C10</f>
        <v>6303.4184873949598</v>
      </c>
      <c r="D12" s="23">
        <f>D8*D10</f>
        <v>0</v>
      </c>
      <c r="E12" s="23">
        <f>E8*E10</f>
        <v>4.9479568842282937</v>
      </c>
      <c r="F12" s="23">
        <f>F8*F10</f>
        <v>1594.1896007829437</v>
      </c>
      <c r="G12" s="23"/>
      <c r="H12" s="23"/>
      <c r="I12" s="23"/>
      <c r="J12" s="23">
        <f>J8*J10</f>
        <v>127.71816367889052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0.33458808180590899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182.64008117997909</v>
      </c>
      <c r="C26" s="247">
        <f>B26*'GWP N2O_CH4'!B5</f>
        <v>3835.441704779561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72.291553508676827</v>
      </c>
      <c r="C27" s="247">
        <f>B27*'GWP N2O_CH4'!B5</f>
        <v>1518.1226236822133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2.7269173780060525</v>
      </c>
      <c r="C28" s="247">
        <f>B28*'GWP N2O_CH4'!B4</f>
        <v>845.3443871818763</v>
      </c>
      <c r="D28" s="50"/>
    </row>
    <row r="29" spans="1:4">
      <c r="A29" s="41" t="s">
        <v>277</v>
      </c>
      <c r="B29" s="247">
        <f>B34*'ha_N2O bodem landbouw'!B4</f>
        <v>7.5399375611043009</v>
      </c>
      <c r="C29" s="247">
        <f>B29*'GWP N2O_CH4'!B4</f>
        <v>2337.3806439423333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1.6910751615355378E-3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8.2427261466462741E-5</v>
      </c>
      <c r="C5" s="464" t="s">
        <v>211</v>
      </c>
      <c r="D5" s="449">
        <f>SUM(D6:D11)</f>
        <v>2.2476204699400665E-4</v>
      </c>
      <c r="E5" s="449">
        <f>SUM(E6:E11)</f>
        <v>1.570323436257295E-3</v>
      </c>
      <c r="F5" s="462" t="s">
        <v>211</v>
      </c>
      <c r="G5" s="449">
        <f>SUM(G6:G11)</f>
        <v>0.57271847402596177</v>
      </c>
      <c r="H5" s="449">
        <f>SUM(H6:H11)</f>
        <v>8.6331165210961458E-2</v>
      </c>
      <c r="I5" s="464" t="s">
        <v>211</v>
      </c>
      <c r="J5" s="464" t="s">
        <v>211</v>
      </c>
      <c r="K5" s="464" t="s">
        <v>211</v>
      </c>
      <c r="L5" s="464" t="s">
        <v>211</v>
      </c>
      <c r="M5" s="449">
        <f>SUM(M6:M11)</f>
        <v>3.5786714991769664E-2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2.9229852609029464E-5</v>
      </c>
      <c r="C6" s="450"/>
      <c r="D6" s="963">
        <f>vkm_2011_GW_PW*SUMIFS(TableVerdeelsleutelVkm[CNG],TableVerdeelsleutelVkm[Voertuigtype],"Lichte voertuigen")*SUMIFS(TableECFTransport[EnergieConsumptieFactor (PJ per km)],TableECFTransport[Index],CONCATENATE($A6,"_CNG_CNG"))</f>
        <v>6.7611867158149703E-5</v>
      </c>
      <c r="E6" s="963">
        <f>vkm_2011_GW_PW*SUMIFS(TableVerdeelsleutelVkm[LPG],TableVerdeelsleutelVkm[Voertuigtype],"Lichte voertuigen")*SUMIFS(TableECFTransport[EnergieConsumptieFactor (PJ per km)],TableECFTransport[Index],CONCATENATE($A6,"_LPG_LPG"))</f>
        <v>4.4024764927096111E-4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9.145819206510486E-2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2.5780174303144728E-2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6.0840634588161619E-3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7.3145494385815871E-2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2.5014430695891815E-5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4.2318814576970702E-3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1.6885824562576477E-5</v>
      </c>
      <c r="C8" s="450"/>
      <c r="D8" s="452">
        <f>vkm_2011_NGW_PW*SUMIFS(TableVerdeelsleutelVkm[CNG],TableVerdeelsleutelVkm[Voertuigtype],"Lichte voertuigen")*SUMIFS(TableECFTransport[EnergieConsumptieFactor (PJ per km)],TableECFTransport[Index],CONCATENATE($A8,"_CNG_CNG"))</f>
        <v>6.9083551679275913E-5</v>
      </c>
      <c r="E8" s="452">
        <f>vkm_2011_NGW_PW*SUMIFS(TableVerdeelsleutelVkm[LPG],TableVerdeelsleutelVkm[Voertuigtype],"Lichte voertuigen")*SUMIFS(TableECFTransport[EnergieConsumptieFactor (PJ per km)],TableECFTransport[Index],CONCATENATE($A8,"_LPG_LPG"))</f>
        <v>4.151466322218424E-4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8.0620866100292121E-2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2.5470199923907335E-2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5.4476341510261862E-3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3.348350484866866E-2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1.0834872130237721E-5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1.9371915885849076E-3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3.63115842948568E-5</v>
      </c>
      <c r="C10" s="450"/>
      <c r="D10" s="452">
        <f>vkm_2011_SW_PW*SUMIFS(TableVerdeelsleutelVkm[CNG],TableVerdeelsleutelVkm[Voertuigtype],"Lichte voertuigen")*SUMIFS(TableECFTransport[EnergieConsumptieFactor (PJ per km)],TableECFTransport[Index],CONCATENATE($A10,"_CNG_CNG"))</f>
        <v>8.8066628156581038E-5</v>
      </c>
      <c r="E10" s="452">
        <f>vkm_2011_SW_PW*SUMIFS(TableVerdeelsleutelVkm[LPG],TableVerdeelsleutelVkm[Voertuigtype],"Lichte voertuigen")*SUMIFS(TableECFTransport[EnergieConsumptieFactor (PJ per km)],TableECFTransport[Index],CONCATENATE($A10,"_LPG_LPG"))</f>
        <v>7.1492915476449159E-4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0.13371227933352661</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3.4985861836900715E-2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8.8116573122392627E-3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0.16029813729255374</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5.9079844182546784E-5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9.2742870234060731E-3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22.896461518461873</v>
      </c>
      <c r="C14" s="21"/>
      <c r="D14" s="21">
        <f t="shared" ref="D14:M14" si="0">((D5)*10^9/3600)+D12</f>
        <v>62.433901942779627</v>
      </c>
      <c r="E14" s="21">
        <f t="shared" si="0"/>
        <v>436.20095451591533</v>
      </c>
      <c r="F14" s="21"/>
      <c r="G14" s="21">
        <f t="shared" si="0"/>
        <v>159088.46500721161</v>
      </c>
      <c r="H14" s="21">
        <f t="shared" si="0"/>
        <v>23980.879225267072</v>
      </c>
      <c r="I14" s="21"/>
      <c r="J14" s="21"/>
      <c r="K14" s="21"/>
      <c r="L14" s="21"/>
      <c r="M14" s="21">
        <f t="shared" si="0"/>
        <v>9940.7541643804616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0.18825951510187292</v>
      </c>
      <c r="C16" s="56">
        <f ca="1">'EF ele_warmte'!B22</f>
        <v>0.21027916892684595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4.3104767430143252</v>
      </c>
      <c r="C18" s="23"/>
      <c r="D18" s="23">
        <f t="shared" ref="D18:M18" si="1">D14*D16</f>
        <v>12.611648192441486</v>
      </c>
      <c r="E18" s="23">
        <f t="shared" si="1"/>
        <v>99.017616675112777</v>
      </c>
      <c r="F18" s="23"/>
      <c r="G18" s="23">
        <f t="shared" si="1"/>
        <v>42476.620156925499</v>
      </c>
      <c r="H18" s="23">
        <f t="shared" si="1"/>
        <v>5971.238927091501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5.0039496075368131E-3</v>
      </c>
      <c r="H50" s="321">
        <f t="shared" si="2"/>
        <v>0</v>
      </c>
      <c r="I50" s="321">
        <f t="shared" si="2"/>
        <v>0</v>
      </c>
      <c r="J50" s="321">
        <f t="shared" si="2"/>
        <v>0</v>
      </c>
      <c r="K50" s="321">
        <f t="shared" si="2"/>
        <v>0</v>
      </c>
      <c r="L50" s="321">
        <f t="shared" si="2"/>
        <v>0</v>
      </c>
      <c r="M50" s="321">
        <f t="shared" si="2"/>
        <v>2.853606588167161E-4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5.0039496075368131E-3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2.853606588167161E-4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1389.9860020935591</v>
      </c>
      <c r="H54" s="21">
        <f t="shared" si="3"/>
        <v>0</v>
      </c>
      <c r="I54" s="21">
        <f t="shared" si="3"/>
        <v>0</v>
      </c>
      <c r="J54" s="21">
        <f t="shared" si="3"/>
        <v>0</v>
      </c>
      <c r="K54" s="21">
        <f t="shared" si="3"/>
        <v>0</v>
      </c>
      <c r="L54" s="21">
        <f t="shared" si="3"/>
        <v>0</v>
      </c>
      <c r="M54" s="21">
        <f t="shared" si="3"/>
        <v>79.266849671310027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0.18825951510187292</v>
      </c>
      <c r="C56" s="56">
        <f ca="1">'EF ele_warmte'!B22</f>
        <v>0.21027916892684595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371.12626255898033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3503.881255936516</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17088.552307750171</v>
      </c>
      <c r="C6" s="1216"/>
      <c r="D6" s="1201"/>
      <c r="E6" s="1201"/>
      <c r="F6" s="1219"/>
      <c r="G6" s="1222"/>
      <c r="H6" s="1213"/>
      <c r="I6" s="1201"/>
      <c r="J6" s="1201"/>
      <c r="K6" s="1201"/>
      <c r="L6" s="1205"/>
      <c r="M6" s="576"/>
      <c r="N6" s="1179"/>
      <c r="O6" s="1180"/>
      <c r="Q6" s="574"/>
      <c r="R6" s="1167"/>
      <c r="S6" s="1167"/>
    </row>
    <row r="7" spans="1:19" s="564" customFormat="1">
      <c r="A7" s="577" t="s">
        <v>252</v>
      </c>
      <c r="B7" s="578">
        <f>N57</f>
        <v>20983.5</v>
      </c>
      <c r="C7" s="579">
        <f>B100</f>
        <v>21843.529411764706</v>
      </c>
      <c r="D7" s="580"/>
      <c r="E7" s="580">
        <f>E100</f>
        <v>0</v>
      </c>
      <c r="F7" s="581"/>
      <c r="G7" s="582"/>
      <c r="H7" s="580">
        <f>I100</f>
        <v>0</v>
      </c>
      <c r="I7" s="580">
        <f>G100+F100</f>
        <v>0</v>
      </c>
      <c r="J7" s="580">
        <f>H100+D100+C100</f>
        <v>2842.9411764705883</v>
      </c>
      <c r="K7" s="580"/>
      <c r="L7" s="583"/>
      <c r="M7" s="584">
        <f>C7*$C$11+D7*$D$11+E7*$E$11+F7*$F$11+G7*$G$11+H7*$H$11+I7*$I$11+J7*$J$11</f>
        <v>4412.3929411764711</v>
      </c>
      <c r="N7" s="1179"/>
      <c r="O7" s="1180"/>
      <c r="Q7" s="574"/>
      <c r="R7" s="1167"/>
      <c r="S7" s="1167"/>
    </row>
    <row r="8" spans="1:19" s="564" customFormat="1" ht="17.45" customHeight="1" thickBot="1">
      <c r="A8" s="585" t="s">
        <v>248</v>
      </c>
      <c r="B8" s="586">
        <f>N88+'Eigen informatie GS &amp; warmtenet'!B12</f>
        <v>1341</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42916.933563686689</v>
      </c>
      <c r="C9" s="595">
        <f t="shared" ref="C9:L9" si="0">SUM(C7:C8)</f>
        <v>21843.529411764706</v>
      </c>
      <c r="D9" s="595">
        <f t="shared" si="0"/>
        <v>0</v>
      </c>
      <c r="E9" s="595">
        <f t="shared" si="0"/>
        <v>0</v>
      </c>
      <c r="F9" s="595">
        <f t="shared" si="0"/>
        <v>0</v>
      </c>
      <c r="G9" s="595">
        <f t="shared" si="0"/>
        <v>0</v>
      </c>
      <c r="H9" s="595">
        <f t="shared" si="0"/>
        <v>0</v>
      </c>
      <c r="I9" s="595">
        <f t="shared" si="0"/>
        <v>0</v>
      </c>
      <c r="J9" s="595">
        <f t="shared" si="0"/>
        <v>6674.3697478991598</v>
      </c>
      <c r="K9" s="595">
        <f t="shared" si="0"/>
        <v>0</v>
      </c>
      <c r="L9" s="595">
        <f t="shared" si="0"/>
        <v>0</v>
      </c>
      <c r="M9" s="596">
        <f>SUM(M4:M8)</f>
        <v>4412.3929411764711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29976.428571428572</v>
      </c>
      <c r="C16" s="611">
        <f>B101</f>
        <v>31205.042016806728</v>
      </c>
      <c r="D16" s="612"/>
      <c r="E16" s="612">
        <f>E101</f>
        <v>0</v>
      </c>
      <c r="F16" s="613"/>
      <c r="G16" s="614"/>
      <c r="H16" s="611">
        <f>I101</f>
        <v>0</v>
      </c>
      <c r="I16" s="612">
        <f>G101+F101</f>
        <v>0</v>
      </c>
      <c r="J16" s="612">
        <f>H101+D101+C101</f>
        <v>4061.3445378151264</v>
      </c>
      <c r="K16" s="612"/>
      <c r="L16" s="615"/>
      <c r="M16" s="616">
        <f>C16*$C$21+E16*$E$21+H16*$H$21+I16*$I$21+J16*$J$21+D16*$D$21+F16*$F$21+G16*$G$21+K16*$K$21+L16*$L$21</f>
        <v>6303.4184873949598</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29976.428571428572</v>
      </c>
      <c r="C19" s="594">
        <f>SUM(C16:C18)</f>
        <v>31205.042016806728</v>
      </c>
      <c r="D19" s="594">
        <f t="shared" ref="D19:M19" si="1">SUM(D16:D18)</f>
        <v>0</v>
      </c>
      <c r="E19" s="594">
        <f t="shared" si="1"/>
        <v>0</v>
      </c>
      <c r="F19" s="594">
        <f t="shared" si="1"/>
        <v>0</v>
      </c>
      <c r="G19" s="594">
        <f t="shared" si="1"/>
        <v>0</v>
      </c>
      <c r="H19" s="594">
        <f t="shared" si="1"/>
        <v>0</v>
      </c>
      <c r="I19" s="594">
        <f t="shared" si="1"/>
        <v>0</v>
      </c>
      <c r="J19" s="594">
        <f t="shared" si="1"/>
        <v>4061.3445378151264</v>
      </c>
      <c r="K19" s="594">
        <f t="shared" si="1"/>
        <v>0</v>
      </c>
      <c r="L19" s="594">
        <f t="shared" si="1"/>
        <v>0</v>
      </c>
      <c r="M19" s="621">
        <f t="shared" si="1"/>
        <v>6303.4184873949598</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34013</v>
      </c>
      <c r="C27" s="852">
        <v>8531</v>
      </c>
      <c r="D27" s="673" t="s">
        <v>834</v>
      </c>
      <c r="E27" s="672" t="s">
        <v>835</v>
      </c>
      <c r="F27" s="672" t="s">
        <v>836</v>
      </c>
      <c r="G27" s="672" t="s">
        <v>837</v>
      </c>
      <c r="H27" s="672" t="s">
        <v>838</v>
      </c>
      <c r="I27" s="672" t="s">
        <v>835</v>
      </c>
      <c r="J27" s="851">
        <v>39652</v>
      </c>
      <c r="K27" s="851">
        <v>39652</v>
      </c>
      <c r="L27" s="672" t="s">
        <v>839</v>
      </c>
      <c r="M27" s="672">
        <v>2000</v>
      </c>
      <c r="N27" s="672">
        <v>9000</v>
      </c>
      <c r="O27" s="672">
        <v>12857.142857142857</v>
      </c>
      <c r="P27" s="672">
        <v>25714.285714285717</v>
      </c>
      <c r="Q27" s="672">
        <v>0</v>
      </c>
      <c r="R27" s="672">
        <v>0</v>
      </c>
      <c r="S27" s="672">
        <v>0</v>
      </c>
      <c r="T27" s="672">
        <v>0</v>
      </c>
      <c r="U27" s="672">
        <v>0</v>
      </c>
      <c r="V27" s="672">
        <v>0</v>
      </c>
      <c r="W27" s="672">
        <v>0</v>
      </c>
      <c r="X27" s="672">
        <v>10</v>
      </c>
      <c r="Y27" s="672" t="s">
        <v>112</v>
      </c>
      <c r="Z27" s="674" t="s">
        <v>112</v>
      </c>
    </row>
    <row r="28" spans="1:26" s="626" customFormat="1" ht="38.25">
      <c r="A28" s="625"/>
      <c r="B28" s="852">
        <v>34013</v>
      </c>
      <c r="C28" s="852">
        <v>8531</v>
      </c>
      <c r="D28" s="673" t="s">
        <v>840</v>
      </c>
      <c r="E28" s="672" t="s">
        <v>841</v>
      </c>
      <c r="F28" s="672" t="s">
        <v>842</v>
      </c>
      <c r="G28" s="672" t="s">
        <v>837</v>
      </c>
      <c r="H28" s="672" t="s">
        <v>838</v>
      </c>
      <c r="I28" s="672" t="s">
        <v>843</v>
      </c>
      <c r="J28" s="851">
        <v>40345</v>
      </c>
      <c r="K28" s="851">
        <v>40345</v>
      </c>
      <c r="L28" s="672" t="s">
        <v>839</v>
      </c>
      <c r="M28" s="672">
        <v>2056</v>
      </c>
      <c r="N28" s="672">
        <v>9252</v>
      </c>
      <c r="O28" s="672">
        <v>13217.142857142857</v>
      </c>
      <c r="P28" s="672">
        <v>26434.285714285717</v>
      </c>
      <c r="Q28" s="672">
        <v>0</v>
      </c>
      <c r="R28" s="672">
        <v>0</v>
      </c>
      <c r="S28" s="672">
        <v>0</v>
      </c>
      <c r="T28" s="672">
        <v>0</v>
      </c>
      <c r="U28" s="672">
        <v>0</v>
      </c>
      <c r="V28" s="672">
        <v>0</v>
      </c>
      <c r="W28" s="672">
        <v>0</v>
      </c>
      <c r="X28" s="672">
        <v>10</v>
      </c>
      <c r="Y28" s="672" t="s">
        <v>112</v>
      </c>
      <c r="Z28" s="674" t="s">
        <v>112</v>
      </c>
    </row>
    <row r="29" spans="1:26" s="626" customFormat="1" ht="25.5">
      <c r="A29" s="625"/>
      <c r="B29" s="852">
        <v>34013</v>
      </c>
      <c r="C29" s="852">
        <v>8530</v>
      </c>
      <c r="D29" s="673" t="s">
        <v>844</v>
      </c>
      <c r="E29" s="672" t="s">
        <v>845</v>
      </c>
      <c r="F29" s="672" t="s">
        <v>846</v>
      </c>
      <c r="G29" s="672" t="s">
        <v>837</v>
      </c>
      <c r="H29" s="672" t="s">
        <v>838</v>
      </c>
      <c r="I29" s="672" t="s">
        <v>847</v>
      </c>
      <c r="J29" s="851">
        <v>39436</v>
      </c>
      <c r="K29" s="851">
        <v>40974</v>
      </c>
      <c r="L29" s="672" t="s">
        <v>839</v>
      </c>
      <c r="M29" s="672">
        <v>537</v>
      </c>
      <c r="N29" s="672">
        <v>2416.5</v>
      </c>
      <c r="O29" s="672">
        <v>3452.1428571428573</v>
      </c>
      <c r="P29" s="672">
        <v>0</v>
      </c>
      <c r="Q29" s="672">
        <v>6904.2857142857147</v>
      </c>
      <c r="R29" s="672">
        <v>0</v>
      </c>
      <c r="S29" s="672">
        <v>0</v>
      </c>
      <c r="T29" s="672">
        <v>0</v>
      </c>
      <c r="U29" s="672">
        <v>0</v>
      </c>
      <c r="V29" s="672">
        <v>0</v>
      </c>
      <c r="W29" s="672">
        <v>0</v>
      </c>
      <c r="X29" s="672">
        <v>10</v>
      </c>
      <c r="Y29" s="672" t="s">
        <v>112</v>
      </c>
      <c r="Z29" s="674" t="s">
        <v>112</v>
      </c>
    </row>
    <row r="30" spans="1:26" s="626" customFormat="1" ht="25.5">
      <c r="A30" s="625"/>
      <c r="B30" s="852">
        <v>34013</v>
      </c>
      <c r="C30" s="852">
        <v>8530</v>
      </c>
      <c r="D30" s="673" t="s">
        <v>848</v>
      </c>
      <c r="E30" s="672" t="s">
        <v>849</v>
      </c>
      <c r="F30" s="672" t="s">
        <v>850</v>
      </c>
      <c r="G30" s="672" t="s">
        <v>837</v>
      </c>
      <c r="H30" s="672" t="s">
        <v>838</v>
      </c>
      <c r="I30" s="672" t="s">
        <v>851</v>
      </c>
      <c r="J30" s="851">
        <v>41253</v>
      </c>
      <c r="K30" s="851">
        <v>41037</v>
      </c>
      <c r="L30" s="672" t="s">
        <v>839</v>
      </c>
      <c r="M30" s="672">
        <v>70</v>
      </c>
      <c r="N30" s="672">
        <v>315.00000000000006</v>
      </c>
      <c r="O30" s="672">
        <v>450.00000000000011</v>
      </c>
      <c r="P30" s="672">
        <v>900.00000000000023</v>
      </c>
      <c r="Q30" s="672">
        <v>0</v>
      </c>
      <c r="R30" s="672">
        <v>0</v>
      </c>
      <c r="S30" s="672">
        <v>0</v>
      </c>
      <c r="T30" s="672">
        <v>0</v>
      </c>
      <c r="U30" s="672">
        <v>0</v>
      </c>
      <c r="V30" s="672">
        <v>0</v>
      </c>
      <c r="W30" s="672">
        <v>0</v>
      </c>
      <c r="X30" s="672">
        <v>10</v>
      </c>
      <c r="Y30" s="672" t="s">
        <v>112</v>
      </c>
      <c r="Z30" s="674" t="s">
        <v>112</v>
      </c>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4663</v>
      </c>
      <c r="N57" s="630">
        <f>SUM(N27:N56)</f>
        <v>20983.5</v>
      </c>
      <c r="O57" s="630">
        <f t="shared" ref="O57:W57" si="2">SUM(O27:O56)</f>
        <v>29976.428571428572</v>
      </c>
      <c r="P57" s="630">
        <f t="shared" si="2"/>
        <v>53048.571428571435</v>
      </c>
      <c r="Q57" s="630">
        <f t="shared" si="2"/>
        <v>6904.2857142857147</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4663</v>
      </c>
      <c r="N60" s="635">
        <f t="shared" ref="N60:W60" si="4">SUMIF($Z$27:$Z$56,"landbouw",N27:N56)</f>
        <v>20983.5</v>
      </c>
      <c r="O60" s="635">
        <f t="shared" si="4"/>
        <v>29976.428571428572</v>
      </c>
      <c r="P60" s="635">
        <f t="shared" si="4"/>
        <v>53048.571428571435</v>
      </c>
      <c r="Q60" s="635">
        <f t="shared" si="4"/>
        <v>6904.2857142857147</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34013</v>
      </c>
      <c r="C63" s="852">
        <v>8530</v>
      </c>
      <c r="D63" s="675" t="s">
        <v>852</v>
      </c>
      <c r="E63" s="675" t="s">
        <v>853</v>
      </c>
      <c r="F63" s="675" t="s">
        <v>854</v>
      </c>
      <c r="G63" s="675" t="s">
        <v>855</v>
      </c>
      <c r="H63" s="675" t="s">
        <v>856</v>
      </c>
      <c r="I63" s="675" t="s">
        <v>857</v>
      </c>
      <c r="J63" s="851">
        <v>39156</v>
      </c>
      <c r="K63" s="851">
        <v>39173</v>
      </c>
      <c r="L63" s="675" t="s">
        <v>839</v>
      </c>
      <c r="M63" s="675">
        <v>298</v>
      </c>
      <c r="N63" s="675">
        <v>1341</v>
      </c>
      <c r="O63" s="675">
        <v>0</v>
      </c>
      <c r="P63" s="675">
        <v>0</v>
      </c>
      <c r="Q63" s="675">
        <v>3831.4285714285716</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298</v>
      </c>
      <c r="N88" s="630">
        <f t="shared" ref="N88:W88" si="5">SUM(N63:N87)</f>
        <v>1341</v>
      </c>
      <c r="O88" s="630">
        <f t="shared" si="5"/>
        <v>0</v>
      </c>
      <c r="P88" s="630">
        <f t="shared" si="5"/>
        <v>0</v>
      </c>
      <c r="Q88" s="630">
        <f t="shared" si="5"/>
        <v>3831.4285714285716</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298</v>
      </c>
      <c r="N90" s="630">
        <f t="shared" ref="N90:W90" si="7">SUMIF($Z$63:$Z$88,"tertiair",N63:N88)</f>
        <v>1341</v>
      </c>
      <c r="O90" s="630">
        <f t="shared" si="7"/>
        <v>0</v>
      </c>
      <c r="P90" s="630">
        <f t="shared" si="7"/>
        <v>0</v>
      </c>
      <c r="Q90" s="630">
        <f t="shared" si="7"/>
        <v>3831.4285714285716</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21843.529411764706</v>
      </c>
      <c r="C100" s="664">
        <f t="shared" si="9"/>
        <v>2842.9411764705883</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31205.042016806728</v>
      </c>
      <c r="C101" s="667">
        <f t="shared" ref="C101:H101" si="10">$B$97*Q57</f>
        <v>4061.3445378151264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61721.017999999996</v>
      </c>
      <c r="D10" s="719">
        <f ca="1">tertiair!C16</f>
        <v>0</v>
      </c>
      <c r="E10" s="719">
        <f ca="1">tertiair!D16</f>
        <v>90701.879113999996</v>
      </c>
      <c r="F10" s="719">
        <f>tertiair!E16</f>
        <v>514.0355320021539</v>
      </c>
      <c r="G10" s="719">
        <f ca="1">tertiair!F16</f>
        <v>8729.180598081799</v>
      </c>
      <c r="H10" s="719">
        <f>tertiair!G16</f>
        <v>0</v>
      </c>
      <c r="I10" s="719">
        <f>tertiair!H16</f>
        <v>0</v>
      </c>
      <c r="J10" s="719">
        <f>tertiair!I16</f>
        <v>0</v>
      </c>
      <c r="K10" s="719">
        <f>tertiair!J16</f>
        <v>0</v>
      </c>
      <c r="L10" s="719">
        <f>tertiair!K16</f>
        <v>0</v>
      </c>
      <c r="M10" s="719">
        <f ca="1">tertiair!L16</f>
        <v>0</v>
      </c>
      <c r="N10" s="719">
        <f>tertiair!M16</f>
        <v>0</v>
      </c>
      <c r="O10" s="719">
        <f ca="1">tertiair!N16</f>
        <v>4927.9478359867871</v>
      </c>
      <c r="P10" s="719">
        <f>tertiair!O16</f>
        <v>1.5633333333333335</v>
      </c>
      <c r="Q10" s="720">
        <f>tertiair!P16</f>
        <v>114.4</v>
      </c>
      <c r="R10" s="722">
        <f ca="1">SUM(C10:Q10)</f>
        <v>166710.02441340405</v>
      </c>
      <c r="S10" s="67"/>
    </row>
    <row r="11" spans="1:19" s="475" customFormat="1">
      <c r="A11" s="871" t="s">
        <v>225</v>
      </c>
      <c r="B11" s="876"/>
      <c r="C11" s="719">
        <f>huishoudens!B8</f>
        <v>44866.600985528763</v>
      </c>
      <c r="D11" s="719">
        <f>huishoudens!C8</f>
        <v>0</v>
      </c>
      <c r="E11" s="719">
        <f>huishoudens!D8</f>
        <v>117966.4205484422</v>
      </c>
      <c r="F11" s="719">
        <f>huishoudens!E8</f>
        <v>4031.8442584833724</v>
      </c>
      <c r="G11" s="719">
        <f>huishoudens!F8</f>
        <v>6311.6669976323019</v>
      </c>
      <c r="H11" s="719">
        <f>huishoudens!G8</f>
        <v>0</v>
      </c>
      <c r="I11" s="719">
        <f>huishoudens!H8</f>
        <v>0</v>
      </c>
      <c r="J11" s="719">
        <f>huishoudens!I8</f>
        <v>0</v>
      </c>
      <c r="K11" s="719">
        <f>huishoudens!J8</f>
        <v>0</v>
      </c>
      <c r="L11" s="719">
        <f>huishoudens!K8</f>
        <v>0</v>
      </c>
      <c r="M11" s="719">
        <f>huishoudens!L8</f>
        <v>0</v>
      </c>
      <c r="N11" s="719">
        <f>huishoudens!M8</f>
        <v>0</v>
      </c>
      <c r="O11" s="719">
        <f>huishoudens!N8</f>
        <v>15289.804571732779</v>
      </c>
      <c r="P11" s="719">
        <f>huishoudens!O8</f>
        <v>368.94666666666672</v>
      </c>
      <c r="Q11" s="720">
        <f>huishoudens!P8</f>
        <v>591.06666666666661</v>
      </c>
      <c r="R11" s="722">
        <f>SUM(C11:Q11)</f>
        <v>189426.35069515277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45959.048000000003</v>
      </c>
      <c r="D13" s="719">
        <f>industrie!C18</f>
        <v>0</v>
      </c>
      <c r="E13" s="719">
        <f>industrie!D18</f>
        <v>70749.457811999993</v>
      </c>
      <c r="F13" s="719">
        <f>industrie!E18</f>
        <v>3973.132729363952</v>
      </c>
      <c r="G13" s="719">
        <f>industrie!F18</f>
        <v>21879.101256633829</v>
      </c>
      <c r="H13" s="719">
        <f>industrie!G18</f>
        <v>0</v>
      </c>
      <c r="I13" s="719">
        <f>industrie!H18</f>
        <v>0</v>
      </c>
      <c r="J13" s="719">
        <f>industrie!I18</f>
        <v>0</v>
      </c>
      <c r="K13" s="719">
        <f>industrie!J18</f>
        <v>151.40137114660803</v>
      </c>
      <c r="L13" s="719">
        <f>industrie!K18</f>
        <v>0</v>
      </c>
      <c r="M13" s="719">
        <f>industrie!L18</f>
        <v>0</v>
      </c>
      <c r="N13" s="719">
        <f>industrie!M18</f>
        <v>0</v>
      </c>
      <c r="O13" s="719">
        <f>industrie!N18</f>
        <v>8661.2334186023963</v>
      </c>
      <c r="P13" s="719">
        <f>industrie!O18</f>
        <v>0</v>
      </c>
      <c r="Q13" s="720">
        <f>industrie!P18</f>
        <v>0</v>
      </c>
      <c r="R13" s="722">
        <f>SUM(C13:Q13)</f>
        <v>151373.37458774677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152546.66698552878</v>
      </c>
      <c r="D15" s="724">
        <f t="shared" ref="D15:Q15" ca="1" si="0">SUM(D9:D14)</f>
        <v>0</v>
      </c>
      <c r="E15" s="724">
        <f t="shared" ca="1" si="0"/>
        <v>279417.75747444219</v>
      </c>
      <c r="F15" s="724">
        <f t="shared" si="0"/>
        <v>8519.0125198494788</v>
      </c>
      <c r="G15" s="724">
        <f t="shared" ca="1" si="0"/>
        <v>36919.94885234793</v>
      </c>
      <c r="H15" s="724">
        <f t="shared" si="0"/>
        <v>0</v>
      </c>
      <c r="I15" s="724">
        <f t="shared" si="0"/>
        <v>0</v>
      </c>
      <c r="J15" s="724">
        <f t="shared" si="0"/>
        <v>0</v>
      </c>
      <c r="K15" s="724">
        <f t="shared" si="0"/>
        <v>151.40137114660803</v>
      </c>
      <c r="L15" s="724">
        <f t="shared" si="0"/>
        <v>0</v>
      </c>
      <c r="M15" s="724">
        <f t="shared" ca="1" si="0"/>
        <v>0</v>
      </c>
      <c r="N15" s="724">
        <f t="shared" si="0"/>
        <v>0</v>
      </c>
      <c r="O15" s="724">
        <f t="shared" ca="1" si="0"/>
        <v>28878.985826321965</v>
      </c>
      <c r="P15" s="724">
        <f t="shared" si="0"/>
        <v>370.51000000000005</v>
      </c>
      <c r="Q15" s="725">
        <f t="shared" si="0"/>
        <v>705.46666666666658</v>
      </c>
      <c r="R15" s="726">
        <f ca="1">SUM(R9:R14)</f>
        <v>507509.74969630362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1389.9860020935591</v>
      </c>
      <c r="I18" s="719">
        <f>transport!H54</f>
        <v>0</v>
      </c>
      <c r="J18" s="719">
        <f>transport!I54</f>
        <v>0</v>
      </c>
      <c r="K18" s="719">
        <f>transport!J54</f>
        <v>0</v>
      </c>
      <c r="L18" s="719">
        <f>transport!K54</f>
        <v>0</v>
      </c>
      <c r="M18" s="719">
        <f>transport!L54</f>
        <v>0</v>
      </c>
      <c r="N18" s="719">
        <f>transport!M54</f>
        <v>79.266849671310027</v>
      </c>
      <c r="O18" s="719">
        <f>transport!N54</f>
        <v>0</v>
      </c>
      <c r="P18" s="719">
        <f>transport!O54</f>
        <v>0</v>
      </c>
      <c r="Q18" s="720">
        <f>transport!P54</f>
        <v>0</v>
      </c>
      <c r="R18" s="722">
        <f>SUM(C18:Q18)</f>
        <v>1469.2528517648691</v>
      </c>
      <c r="S18" s="67"/>
    </row>
    <row r="19" spans="1:19" s="475" customFormat="1" ht="15" thickBot="1">
      <c r="A19" s="871" t="s">
        <v>307</v>
      </c>
      <c r="B19" s="876"/>
      <c r="C19" s="728">
        <f>transport!B14</f>
        <v>22.896461518461873</v>
      </c>
      <c r="D19" s="728">
        <f>transport!C14</f>
        <v>0</v>
      </c>
      <c r="E19" s="728">
        <f>transport!D14</f>
        <v>62.433901942779627</v>
      </c>
      <c r="F19" s="728">
        <f>transport!E14</f>
        <v>436.20095451591533</v>
      </c>
      <c r="G19" s="728">
        <f>transport!F14</f>
        <v>0</v>
      </c>
      <c r="H19" s="728">
        <f>transport!G14</f>
        <v>159088.46500721161</v>
      </c>
      <c r="I19" s="728">
        <f>transport!H14</f>
        <v>23980.879225267072</v>
      </c>
      <c r="J19" s="728">
        <f>transport!I14</f>
        <v>0</v>
      </c>
      <c r="K19" s="728">
        <f>transport!J14</f>
        <v>0</v>
      </c>
      <c r="L19" s="728">
        <f>transport!K14</f>
        <v>0</v>
      </c>
      <c r="M19" s="728">
        <f>transport!L14</f>
        <v>0</v>
      </c>
      <c r="N19" s="728">
        <f>transport!M14</f>
        <v>9940.7541643804616</v>
      </c>
      <c r="O19" s="728">
        <f>transport!N14</f>
        <v>0</v>
      </c>
      <c r="P19" s="728">
        <f>transport!O14</f>
        <v>0</v>
      </c>
      <c r="Q19" s="729">
        <f>transport!P14</f>
        <v>0</v>
      </c>
      <c r="R19" s="730">
        <f>SUM(C19:Q19)</f>
        <v>193531.62971483628</v>
      </c>
      <c r="S19" s="67"/>
    </row>
    <row r="20" spans="1:19" s="475" customFormat="1" ht="15.75" thickBot="1">
      <c r="A20" s="731" t="s">
        <v>230</v>
      </c>
      <c r="B20" s="879"/>
      <c r="C20" s="874">
        <f>SUM(C17:C19)</f>
        <v>22.896461518461873</v>
      </c>
      <c r="D20" s="732">
        <f t="shared" ref="D20:R20" si="1">SUM(D17:D19)</f>
        <v>0</v>
      </c>
      <c r="E20" s="732">
        <f t="shared" si="1"/>
        <v>62.433901942779627</v>
      </c>
      <c r="F20" s="732">
        <f t="shared" si="1"/>
        <v>436.20095451591533</v>
      </c>
      <c r="G20" s="732">
        <f t="shared" si="1"/>
        <v>0</v>
      </c>
      <c r="H20" s="732">
        <f t="shared" si="1"/>
        <v>160478.45100930516</v>
      </c>
      <c r="I20" s="732">
        <f t="shared" si="1"/>
        <v>23980.879225267072</v>
      </c>
      <c r="J20" s="732">
        <f t="shared" si="1"/>
        <v>0</v>
      </c>
      <c r="K20" s="732">
        <f t="shared" si="1"/>
        <v>0</v>
      </c>
      <c r="L20" s="732">
        <f t="shared" si="1"/>
        <v>0</v>
      </c>
      <c r="M20" s="732">
        <f t="shared" si="1"/>
        <v>0</v>
      </c>
      <c r="N20" s="732">
        <f t="shared" si="1"/>
        <v>10020.021014051772</v>
      </c>
      <c r="O20" s="732">
        <f t="shared" si="1"/>
        <v>0</v>
      </c>
      <c r="P20" s="732">
        <f t="shared" si="1"/>
        <v>0</v>
      </c>
      <c r="Q20" s="733">
        <f t="shared" si="1"/>
        <v>0</v>
      </c>
      <c r="R20" s="734">
        <f t="shared" si="1"/>
        <v>195000.88256660115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2353.2910000000002</v>
      </c>
      <c r="D22" s="728">
        <f>+landbouw!C8</f>
        <v>29976.428571428572</v>
      </c>
      <c r="E22" s="728">
        <f>+landbouw!D8</f>
        <v>0</v>
      </c>
      <c r="F22" s="728">
        <f>+landbouw!E8</f>
        <v>21.797166890873541</v>
      </c>
      <c r="G22" s="728">
        <f>+landbouw!F8</f>
        <v>5970.7475684754445</v>
      </c>
      <c r="H22" s="728">
        <f>+landbouw!G8</f>
        <v>0</v>
      </c>
      <c r="I22" s="728">
        <f>+landbouw!H8</f>
        <v>0</v>
      </c>
      <c r="J22" s="728">
        <f>+landbouw!I8</f>
        <v>0</v>
      </c>
      <c r="K22" s="728">
        <f>+landbouw!J8</f>
        <v>360.78577310421053</v>
      </c>
      <c r="L22" s="728">
        <f>+landbouw!K8</f>
        <v>0</v>
      </c>
      <c r="M22" s="728">
        <f>+landbouw!L8</f>
        <v>0</v>
      </c>
      <c r="N22" s="728">
        <f>+landbouw!M8</f>
        <v>0</v>
      </c>
      <c r="O22" s="728">
        <f>+landbouw!N8</f>
        <v>0</v>
      </c>
      <c r="P22" s="728">
        <f>+landbouw!O8</f>
        <v>0</v>
      </c>
      <c r="Q22" s="729">
        <f>+landbouw!P8</f>
        <v>0</v>
      </c>
      <c r="R22" s="730">
        <f>SUM(C22:Q22)</f>
        <v>38683.050079899098</v>
      </c>
      <c r="S22" s="67"/>
    </row>
    <row r="23" spans="1:19" s="475" customFormat="1" ht="17.25" thickTop="1" thickBot="1">
      <c r="A23" s="735" t="s">
        <v>116</v>
      </c>
      <c r="B23" s="865"/>
      <c r="C23" s="736">
        <f ca="1">C20+C15+C22</f>
        <v>154922.85444704723</v>
      </c>
      <c r="D23" s="736">
        <f t="shared" ref="D23:Q23" ca="1" si="2">D20+D15+D22</f>
        <v>29976.428571428572</v>
      </c>
      <c r="E23" s="736">
        <f t="shared" ca="1" si="2"/>
        <v>279480.19137638499</v>
      </c>
      <c r="F23" s="736">
        <f t="shared" si="2"/>
        <v>8977.0106412562691</v>
      </c>
      <c r="G23" s="736">
        <f t="shared" ca="1" si="2"/>
        <v>42890.696420823377</v>
      </c>
      <c r="H23" s="736">
        <f t="shared" si="2"/>
        <v>160478.45100930516</v>
      </c>
      <c r="I23" s="736">
        <f t="shared" si="2"/>
        <v>23980.879225267072</v>
      </c>
      <c r="J23" s="736">
        <f t="shared" si="2"/>
        <v>0</v>
      </c>
      <c r="K23" s="736">
        <f t="shared" si="2"/>
        <v>512.18714425081862</v>
      </c>
      <c r="L23" s="736">
        <f t="shared" si="2"/>
        <v>0</v>
      </c>
      <c r="M23" s="736">
        <f t="shared" ca="1" si="2"/>
        <v>0</v>
      </c>
      <c r="N23" s="736">
        <f t="shared" si="2"/>
        <v>10020.021014051772</v>
      </c>
      <c r="O23" s="736">
        <f t="shared" ca="1" si="2"/>
        <v>28878.985826321965</v>
      </c>
      <c r="P23" s="736">
        <f t="shared" si="2"/>
        <v>370.51000000000005</v>
      </c>
      <c r="Q23" s="737">
        <f t="shared" si="2"/>
        <v>705.46666666666658</v>
      </c>
      <c r="R23" s="738">
        <f ca="1">R20+R15+R22</f>
        <v>741193.68234280392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11619.568920273969</v>
      </c>
      <c r="D36" s="719">
        <f ca="1">tertiair!C20</f>
        <v>0</v>
      </c>
      <c r="E36" s="719">
        <f ca="1">tertiair!D20</f>
        <v>18321.779581028</v>
      </c>
      <c r="F36" s="719">
        <f>tertiair!E20</f>
        <v>116.68606576448894</v>
      </c>
      <c r="G36" s="719">
        <f ca="1">tertiair!F20</f>
        <v>2330.6912196878407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32388.725786754298</v>
      </c>
    </row>
    <row r="37" spans="1:18">
      <c r="A37" s="886" t="s">
        <v>225</v>
      </c>
      <c r="B37" s="893"/>
      <c r="C37" s="719">
        <f ca="1">huishoudens!B12</f>
        <v>8446.5645458048584</v>
      </c>
      <c r="D37" s="719">
        <f ca="1">huishoudens!C12</f>
        <v>0</v>
      </c>
      <c r="E37" s="719">
        <f>huishoudens!D12</f>
        <v>23829.216950785325</v>
      </c>
      <c r="F37" s="719">
        <f>huishoudens!E12</f>
        <v>915.2286466757256</v>
      </c>
      <c r="G37" s="719">
        <f>huishoudens!F12</f>
        <v>1685.2150883678246</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34876.22523163374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8652.2280910237023</v>
      </c>
      <c r="D39" s="719">
        <f ca="1">industrie!C22</f>
        <v>0</v>
      </c>
      <c r="E39" s="719">
        <f>industrie!D22</f>
        <v>14291.390478023999</v>
      </c>
      <c r="F39" s="719">
        <f>industrie!E22</f>
        <v>901.90112956561711</v>
      </c>
      <c r="G39" s="719">
        <f>industrie!F22</f>
        <v>5841.7200355212326</v>
      </c>
      <c r="H39" s="719">
        <f>industrie!G22</f>
        <v>0</v>
      </c>
      <c r="I39" s="719">
        <f>industrie!H22</f>
        <v>0</v>
      </c>
      <c r="J39" s="719">
        <f>industrie!I22</f>
        <v>0</v>
      </c>
      <c r="K39" s="719">
        <f>industrie!J22</f>
        <v>53.596085385899237</v>
      </c>
      <c r="L39" s="719">
        <f>industrie!K22</f>
        <v>0</v>
      </c>
      <c r="M39" s="719">
        <f>industrie!L22</f>
        <v>0</v>
      </c>
      <c r="N39" s="719">
        <f>industrie!M22</f>
        <v>0</v>
      </c>
      <c r="O39" s="719">
        <f>industrie!N22</f>
        <v>0</v>
      </c>
      <c r="P39" s="719">
        <f>industrie!O22</f>
        <v>0</v>
      </c>
      <c r="Q39" s="829">
        <f>industrie!P22</f>
        <v>0</v>
      </c>
      <c r="R39" s="919">
        <f ca="1">SUM(C39:Q39)</f>
        <v>29740.835819520449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28718.361557102529</v>
      </c>
      <c r="D41" s="764">
        <f t="shared" ref="D41:R41" ca="1" si="4">SUM(D35:D40)</f>
        <v>0</v>
      </c>
      <c r="E41" s="764">
        <f t="shared" ca="1" si="4"/>
        <v>56442.387009837323</v>
      </c>
      <c r="F41" s="764">
        <f t="shared" si="4"/>
        <v>1933.8158420058317</v>
      </c>
      <c r="G41" s="764">
        <f t="shared" ca="1" si="4"/>
        <v>9857.6263435768979</v>
      </c>
      <c r="H41" s="764">
        <f t="shared" si="4"/>
        <v>0</v>
      </c>
      <c r="I41" s="764">
        <f t="shared" si="4"/>
        <v>0</v>
      </c>
      <c r="J41" s="764">
        <f t="shared" si="4"/>
        <v>0</v>
      </c>
      <c r="K41" s="764">
        <f t="shared" si="4"/>
        <v>53.596085385899237</v>
      </c>
      <c r="L41" s="764">
        <f t="shared" si="4"/>
        <v>0</v>
      </c>
      <c r="M41" s="764">
        <f t="shared" ca="1" si="4"/>
        <v>0</v>
      </c>
      <c r="N41" s="764">
        <f t="shared" si="4"/>
        <v>0</v>
      </c>
      <c r="O41" s="764">
        <f t="shared" ca="1" si="4"/>
        <v>0</v>
      </c>
      <c r="P41" s="764">
        <f t="shared" si="4"/>
        <v>0</v>
      </c>
      <c r="Q41" s="765">
        <f t="shared" si="4"/>
        <v>0</v>
      </c>
      <c r="R41" s="766">
        <f t="shared" ca="1" si="4"/>
        <v>97005.786837908483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371.12626255898033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371.12626255898033</v>
      </c>
    </row>
    <row r="45" spans="1:18" ht="15" thickBot="1">
      <c r="A45" s="889" t="s">
        <v>307</v>
      </c>
      <c r="B45" s="899"/>
      <c r="C45" s="728">
        <f ca="1">transport!B18</f>
        <v>4.3104767430143252</v>
      </c>
      <c r="D45" s="728">
        <f>transport!C18</f>
        <v>0</v>
      </c>
      <c r="E45" s="728">
        <f>transport!D18</f>
        <v>12.611648192441486</v>
      </c>
      <c r="F45" s="728">
        <f>transport!E18</f>
        <v>99.017616675112777</v>
      </c>
      <c r="G45" s="728">
        <f>transport!F18</f>
        <v>0</v>
      </c>
      <c r="H45" s="728">
        <f>transport!G18</f>
        <v>42476.620156925499</v>
      </c>
      <c r="I45" s="728">
        <f>transport!H18</f>
        <v>5971.238927091501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48563.798825627571</v>
      </c>
    </row>
    <row r="46" spans="1:18" ht="15.75" thickBot="1">
      <c r="A46" s="887" t="s">
        <v>230</v>
      </c>
      <c r="B46" s="900"/>
      <c r="C46" s="764">
        <f t="shared" ref="C46:R46" ca="1" si="5">SUM(C43:C45)</f>
        <v>4.3104767430143252</v>
      </c>
      <c r="D46" s="764">
        <f t="shared" ca="1" si="5"/>
        <v>0</v>
      </c>
      <c r="E46" s="764">
        <f t="shared" si="5"/>
        <v>12.611648192441486</v>
      </c>
      <c r="F46" s="764">
        <f t="shared" si="5"/>
        <v>99.017616675112777</v>
      </c>
      <c r="G46" s="764">
        <f t="shared" si="5"/>
        <v>0</v>
      </c>
      <c r="H46" s="764">
        <f t="shared" si="5"/>
        <v>42847.74641948448</v>
      </c>
      <c r="I46" s="764">
        <f t="shared" si="5"/>
        <v>5971.238927091501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48934.925088186552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443.02942255360165</v>
      </c>
      <c r="D48" s="719">
        <f ca="1">+landbouw!C12</f>
        <v>6303.4184873949598</v>
      </c>
      <c r="E48" s="719">
        <f>+landbouw!D12</f>
        <v>0</v>
      </c>
      <c r="F48" s="719">
        <f>+landbouw!E12</f>
        <v>4.9479568842282937</v>
      </c>
      <c r="G48" s="719">
        <f>+landbouw!F12</f>
        <v>1594.1896007829437</v>
      </c>
      <c r="H48" s="719">
        <f>+landbouw!G12</f>
        <v>0</v>
      </c>
      <c r="I48" s="719">
        <f>+landbouw!H12</f>
        <v>0</v>
      </c>
      <c r="J48" s="719">
        <f>+landbouw!I12</f>
        <v>0</v>
      </c>
      <c r="K48" s="719">
        <f>+landbouw!J12</f>
        <v>127.71816367889052</v>
      </c>
      <c r="L48" s="719">
        <f>+landbouw!K12</f>
        <v>0</v>
      </c>
      <c r="M48" s="719">
        <f>+landbouw!L12</f>
        <v>0</v>
      </c>
      <c r="N48" s="719">
        <f>+landbouw!M12</f>
        <v>0</v>
      </c>
      <c r="O48" s="719">
        <f>+landbouw!N12</f>
        <v>0</v>
      </c>
      <c r="P48" s="719">
        <f>+landbouw!O12</f>
        <v>0</v>
      </c>
      <c r="Q48" s="720">
        <f>+landbouw!P12</f>
        <v>0</v>
      </c>
      <c r="R48" s="762">
        <f ca="1">SUM(C48:Q48)</f>
        <v>8473.3036312946224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29165.701456399147</v>
      </c>
      <c r="D53" s="774">
        <f t="shared" ref="D53:Q53" ca="1" si="6">D41+D46+D48</f>
        <v>6303.4184873949598</v>
      </c>
      <c r="E53" s="774">
        <f t="shared" ca="1" si="6"/>
        <v>56454.998658029763</v>
      </c>
      <c r="F53" s="774">
        <f t="shared" si="6"/>
        <v>2037.7814155651727</v>
      </c>
      <c r="G53" s="774">
        <f t="shared" ca="1" si="6"/>
        <v>11451.815944359842</v>
      </c>
      <c r="H53" s="774">
        <f t="shared" si="6"/>
        <v>42847.74641948448</v>
      </c>
      <c r="I53" s="774">
        <f t="shared" si="6"/>
        <v>5971.238927091501</v>
      </c>
      <c r="J53" s="774">
        <f t="shared" si="6"/>
        <v>0</v>
      </c>
      <c r="K53" s="774">
        <f t="shared" si="6"/>
        <v>181.31424906478975</v>
      </c>
      <c r="L53" s="774">
        <f t="shared" si="6"/>
        <v>0</v>
      </c>
      <c r="M53" s="774">
        <f t="shared" ca="1" si="6"/>
        <v>0</v>
      </c>
      <c r="N53" s="774">
        <f t="shared" si="6"/>
        <v>0</v>
      </c>
      <c r="O53" s="774">
        <f t="shared" ca="1" si="6"/>
        <v>0</v>
      </c>
      <c r="P53" s="774">
        <f>P41+P46+P48</f>
        <v>0</v>
      </c>
      <c r="Q53" s="775">
        <f t="shared" si="6"/>
        <v>0</v>
      </c>
      <c r="R53" s="776">
        <f ca="1">R41+R46+R48</f>
        <v>154414.01555738968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0.18825951510187292</v>
      </c>
      <c r="D55" s="837">
        <f t="shared" ca="1" si="7"/>
        <v>0.21027916892684595</v>
      </c>
      <c r="E55" s="837">
        <f t="shared" ca="1" si="7"/>
        <v>0.20199999999999999</v>
      </c>
      <c r="F55" s="837">
        <f t="shared" si="7"/>
        <v>0.22699999999999995</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3503.881255936516</v>
      </c>
      <c r="C64" s="796">
        <f>'lokale energieproductie'!B4</f>
        <v>3503.881255936516</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17088.552307750171</v>
      </c>
      <c r="C66" s="796">
        <f>'lokale energieproductie'!B6</f>
        <v>17088.552307750171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20983.5</v>
      </c>
      <c r="C67" s="795">
        <f>B67*IFERROR(SUM(J67:L67)/SUM(D67:M67),0)</f>
        <v>2416.5000000000005</v>
      </c>
      <c r="D67" s="827">
        <f>'lokale energieproductie'!C7</f>
        <v>21843.529411764706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2842.9411764705883</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4412.3929411764711</v>
      </c>
      <c r="P67" s="923">
        <v>0</v>
      </c>
      <c r="Q67" s="786"/>
      <c r="R67" s="743"/>
    </row>
    <row r="68" spans="1:18" ht="30.75" thickBot="1">
      <c r="A68" s="802" t="s">
        <v>353</v>
      </c>
      <c r="B68" s="795">
        <f>'lokale energieproductie'!B8</f>
        <v>1341</v>
      </c>
      <c r="C68" s="795">
        <f>B68*IFERROR(SUM(J68:L68)/SUM(D68:M68),0)</f>
        <v>1341</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3831.4285714285716</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42916.933563686689</v>
      </c>
      <c r="C69" s="804">
        <f>SUM(C64:C68)</f>
        <v>24349.933563686689</v>
      </c>
      <c r="D69" s="805">
        <f t="shared" ref="D69:M69" si="8">SUM(D67:D68)</f>
        <v>21843.529411764706</v>
      </c>
      <c r="E69" s="805">
        <f t="shared" si="8"/>
        <v>0</v>
      </c>
      <c r="F69" s="805">
        <f t="shared" si="8"/>
        <v>0</v>
      </c>
      <c r="G69" s="805">
        <f t="shared" si="8"/>
        <v>0</v>
      </c>
      <c r="H69" s="805">
        <f t="shared" si="8"/>
        <v>0</v>
      </c>
      <c r="I69" s="805">
        <f t="shared" si="8"/>
        <v>0</v>
      </c>
      <c r="J69" s="805">
        <f t="shared" si="8"/>
        <v>0</v>
      </c>
      <c r="K69" s="805">
        <f t="shared" si="8"/>
        <v>6674.3697478991598</v>
      </c>
      <c r="L69" s="805">
        <f t="shared" si="8"/>
        <v>0</v>
      </c>
      <c r="M69" s="931">
        <f t="shared" si="8"/>
        <v>0</v>
      </c>
      <c r="N69" s="806">
        <v>0</v>
      </c>
      <c r="O69" s="806">
        <f>SUM(O67:O68)</f>
        <v>4412.3929411764711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29976.428571428572</v>
      </c>
      <c r="C78" s="818">
        <f>B78*IFERROR(SUM(I78:L78)/SUM(D78:M78),0)</f>
        <v>3452.1428571428569</v>
      </c>
      <c r="D78" s="833">
        <f>'lokale energieproductie'!C16</f>
        <v>31205.042016806728</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4061.3445378151264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6303.4184873949598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29976.428571428572</v>
      </c>
      <c r="C81" s="804">
        <f>SUM(C78:C80)</f>
        <v>3452.1428571428569</v>
      </c>
      <c r="D81" s="804">
        <f t="shared" ref="D81:P81" si="9">SUM(D78:D80)</f>
        <v>31205.042016806728</v>
      </c>
      <c r="E81" s="804">
        <f t="shared" si="9"/>
        <v>0</v>
      </c>
      <c r="F81" s="804">
        <f t="shared" si="9"/>
        <v>0</v>
      </c>
      <c r="G81" s="804">
        <f t="shared" si="9"/>
        <v>0</v>
      </c>
      <c r="H81" s="804">
        <f t="shared" si="9"/>
        <v>0</v>
      </c>
      <c r="I81" s="804">
        <f t="shared" si="9"/>
        <v>0</v>
      </c>
      <c r="J81" s="804">
        <f t="shared" si="9"/>
        <v>0</v>
      </c>
      <c r="K81" s="804">
        <f t="shared" si="9"/>
        <v>4061.3445378151264</v>
      </c>
      <c r="L81" s="804">
        <f t="shared" si="9"/>
        <v>0</v>
      </c>
      <c r="M81" s="804">
        <f t="shared" si="9"/>
        <v>0</v>
      </c>
      <c r="N81" s="804">
        <v>0</v>
      </c>
      <c r="O81" s="804">
        <f>SUM(O78:O80)</f>
        <v>6303.4184873949598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44866.600985528763</v>
      </c>
      <c r="C4" s="479">
        <f>huishoudens!C8</f>
        <v>0</v>
      </c>
      <c r="D4" s="479">
        <f>huishoudens!D8</f>
        <v>117966.4205484422</v>
      </c>
      <c r="E4" s="479">
        <f>huishoudens!E8</f>
        <v>4031.8442584833724</v>
      </c>
      <c r="F4" s="479">
        <f>huishoudens!F8</f>
        <v>6311.6669976323019</v>
      </c>
      <c r="G4" s="479">
        <f>huishoudens!G8</f>
        <v>0</v>
      </c>
      <c r="H4" s="479">
        <f>huishoudens!H8</f>
        <v>0</v>
      </c>
      <c r="I4" s="479">
        <f>huishoudens!I8</f>
        <v>0</v>
      </c>
      <c r="J4" s="479">
        <f>huishoudens!J8</f>
        <v>0</v>
      </c>
      <c r="K4" s="479">
        <f>huishoudens!K8</f>
        <v>0</v>
      </c>
      <c r="L4" s="479">
        <f>huishoudens!L8</f>
        <v>0</v>
      </c>
      <c r="M4" s="479">
        <f>huishoudens!M8</f>
        <v>0</v>
      </c>
      <c r="N4" s="479">
        <f>huishoudens!N8</f>
        <v>15289.804571732779</v>
      </c>
      <c r="O4" s="479">
        <f>huishoudens!O8</f>
        <v>368.94666666666672</v>
      </c>
      <c r="P4" s="480">
        <f>huishoudens!P8</f>
        <v>591.06666666666661</v>
      </c>
      <c r="Q4" s="481">
        <f>SUM(B4:P4)</f>
        <v>189426.35069515277</v>
      </c>
    </row>
    <row r="5" spans="1:17">
      <c r="A5" s="478" t="s">
        <v>156</v>
      </c>
      <c r="B5" s="479">
        <f ca="1">tertiair!B16</f>
        <v>59383.748999999996</v>
      </c>
      <c r="C5" s="479">
        <f ca="1">tertiair!C16</f>
        <v>0</v>
      </c>
      <c r="D5" s="479">
        <f ca="1">tertiair!D16</f>
        <v>90701.879113999996</v>
      </c>
      <c r="E5" s="479">
        <f>tertiair!E16</f>
        <v>514.0355320021539</v>
      </c>
      <c r="F5" s="479">
        <f ca="1">tertiair!F16</f>
        <v>8729.180598081799</v>
      </c>
      <c r="G5" s="479">
        <f>tertiair!G16</f>
        <v>0</v>
      </c>
      <c r="H5" s="479">
        <f>tertiair!H16</f>
        <v>0</v>
      </c>
      <c r="I5" s="479">
        <f>tertiair!I16</f>
        <v>0</v>
      </c>
      <c r="J5" s="479">
        <f>tertiair!J16</f>
        <v>0</v>
      </c>
      <c r="K5" s="479">
        <f>tertiair!K16</f>
        <v>0</v>
      </c>
      <c r="L5" s="479">
        <f ca="1">tertiair!L16</f>
        <v>0</v>
      </c>
      <c r="M5" s="479">
        <f>tertiair!M16</f>
        <v>0</v>
      </c>
      <c r="N5" s="479">
        <f ca="1">tertiair!N16</f>
        <v>4927.9478359867871</v>
      </c>
      <c r="O5" s="479">
        <f>tertiair!O16</f>
        <v>1.5633333333333335</v>
      </c>
      <c r="P5" s="480">
        <f>tertiair!P16</f>
        <v>114.4</v>
      </c>
      <c r="Q5" s="478">
        <f t="shared" ref="Q5:Q13" ca="1" si="0">SUM(B5:P5)</f>
        <v>164372.75541340405</v>
      </c>
    </row>
    <row r="6" spans="1:17">
      <c r="A6" s="478" t="s">
        <v>194</v>
      </c>
      <c r="B6" s="479">
        <f>'openbare verlichting'!B8</f>
        <v>2337.2689999999998</v>
      </c>
      <c r="C6" s="479"/>
      <c r="D6" s="479"/>
      <c r="E6" s="479"/>
      <c r="F6" s="479"/>
      <c r="G6" s="479"/>
      <c r="H6" s="479"/>
      <c r="I6" s="479"/>
      <c r="J6" s="479"/>
      <c r="K6" s="479"/>
      <c r="L6" s="479"/>
      <c r="M6" s="479"/>
      <c r="N6" s="479"/>
      <c r="O6" s="479"/>
      <c r="P6" s="480"/>
      <c r="Q6" s="478">
        <f t="shared" si="0"/>
        <v>2337.2689999999998</v>
      </c>
    </row>
    <row r="7" spans="1:17">
      <c r="A7" s="478" t="s">
        <v>112</v>
      </c>
      <c r="B7" s="479">
        <f>landbouw!B8</f>
        <v>2353.2910000000002</v>
      </c>
      <c r="C7" s="479">
        <f>landbouw!C8</f>
        <v>29976.428571428572</v>
      </c>
      <c r="D7" s="479">
        <f>landbouw!D8</f>
        <v>0</v>
      </c>
      <c r="E7" s="479">
        <f>landbouw!E8</f>
        <v>21.797166890873541</v>
      </c>
      <c r="F7" s="479">
        <f>landbouw!F8</f>
        <v>5970.7475684754445</v>
      </c>
      <c r="G7" s="479">
        <f>landbouw!G8</f>
        <v>0</v>
      </c>
      <c r="H7" s="479">
        <f>landbouw!H8</f>
        <v>0</v>
      </c>
      <c r="I7" s="479">
        <f>landbouw!I8</f>
        <v>0</v>
      </c>
      <c r="J7" s="479">
        <f>landbouw!J8</f>
        <v>360.78577310421053</v>
      </c>
      <c r="K7" s="479">
        <f>landbouw!K8</f>
        <v>0</v>
      </c>
      <c r="L7" s="479">
        <f>landbouw!L8</f>
        <v>0</v>
      </c>
      <c r="M7" s="479">
        <f>landbouw!M8</f>
        <v>0</v>
      </c>
      <c r="N7" s="479">
        <f>landbouw!N8</f>
        <v>0</v>
      </c>
      <c r="O7" s="479">
        <f>landbouw!O8</f>
        <v>0</v>
      </c>
      <c r="P7" s="480">
        <f>landbouw!P8</f>
        <v>0</v>
      </c>
      <c r="Q7" s="478">
        <f t="shared" si="0"/>
        <v>38683.050079899098</v>
      </c>
    </row>
    <row r="8" spans="1:17">
      <c r="A8" s="478" t="s">
        <v>650</v>
      </c>
      <c r="B8" s="479">
        <f>industrie!B18</f>
        <v>45959.048000000003</v>
      </c>
      <c r="C8" s="479">
        <f>industrie!C18</f>
        <v>0</v>
      </c>
      <c r="D8" s="479">
        <f>industrie!D18</f>
        <v>70749.457811999993</v>
      </c>
      <c r="E8" s="479">
        <f>industrie!E18</f>
        <v>3973.132729363952</v>
      </c>
      <c r="F8" s="479">
        <f>industrie!F18</f>
        <v>21879.101256633829</v>
      </c>
      <c r="G8" s="479">
        <f>industrie!G18</f>
        <v>0</v>
      </c>
      <c r="H8" s="479">
        <f>industrie!H18</f>
        <v>0</v>
      </c>
      <c r="I8" s="479">
        <f>industrie!I18</f>
        <v>0</v>
      </c>
      <c r="J8" s="479">
        <f>industrie!J18</f>
        <v>151.40137114660803</v>
      </c>
      <c r="K8" s="479">
        <f>industrie!K18</f>
        <v>0</v>
      </c>
      <c r="L8" s="479">
        <f>industrie!L18</f>
        <v>0</v>
      </c>
      <c r="M8" s="479">
        <f>industrie!M18</f>
        <v>0</v>
      </c>
      <c r="N8" s="479">
        <f>industrie!N18</f>
        <v>8661.2334186023963</v>
      </c>
      <c r="O8" s="479">
        <f>industrie!O18</f>
        <v>0</v>
      </c>
      <c r="P8" s="480">
        <f>industrie!P18</f>
        <v>0</v>
      </c>
      <c r="Q8" s="478">
        <f t="shared" si="0"/>
        <v>151373.37458774677</v>
      </c>
    </row>
    <row r="9" spans="1:17" s="484" customFormat="1">
      <c r="A9" s="482" t="s">
        <v>571</v>
      </c>
      <c r="B9" s="483">
        <f>transport!B14</f>
        <v>22.896461518461873</v>
      </c>
      <c r="C9" s="483">
        <f>transport!C14</f>
        <v>0</v>
      </c>
      <c r="D9" s="483">
        <f>transport!D14</f>
        <v>62.433901942779627</v>
      </c>
      <c r="E9" s="483">
        <f>transport!E14</f>
        <v>436.20095451591533</v>
      </c>
      <c r="F9" s="483">
        <f>transport!F14</f>
        <v>0</v>
      </c>
      <c r="G9" s="483">
        <f>transport!G14</f>
        <v>159088.46500721161</v>
      </c>
      <c r="H9" s="483">
        <f>transport!H14</f>
        <v>23980.879225267072</v>
      </c>
      <c r="I9" s="483">
        <f>transport!I14</f>
        <v>0</v>
      </c>
      <c r="J9" s="483">
        <f>transport!J14</f>
        <v>0</v>
      </c>
      <c r="K9" s="483">
        <f>transport!K14</f>
        <v>0</v>
      </c>
      <c r="L9" s="483">
        <f>transport!L14</f>
        <v>0</v>
      </c>
      <c r="M9" s="483">
        <f>transport!M14</f>
        <v>9940.7541643804616</v>
      </c>
      <c r="N9" s="483">
        <f>transport!N14</f>
        <v>0</v>
      </c>
      <c r="O9" s="483">
        <f>transport!O14</f>
        <v>0</v>
      </c>
      <c r="P9" s="483">
        <f>transport!P14</f>
        <v>0</v>
      </c>
      <c r="Q9" s="482">
        <f>SUM(B9:P9)</f>
        <v>193531.62971483628</v>
      </c>
    </row>
    <row r="10" spans="1:17">
      <c r="A10" s="478" t="s">
        <v>561</v>
      </c>
      <c r="B10" s="479">
        <f>transport!B54</f>
        <v>0</v>
      </c>
      <c r="C10" s="479">
        <f>transport!C54</f>
        <v>0</v>
      </c>
      <c r="D10" s="479">
        <f>transport!D54</f>
        <v>0</v>
      </c>
      <c r="E10" s="479">
        <f>transport!E54</f>
        <v>0</v>
      </c>
      <c r="F10" s="479">
        <f>transport!F54</f>
        <v>0</v>
      </c>
      <c r="G10" s="479">
        <f>transport!G54</f>
        <v>1389.9860020935591</v>
      </c>
      <c r="H10" s="479">
        <f>transport!H54</f>
        <v>0</v>
      </c>
      <c r="I10" s="479">
        <f>transport!I54</f>
        <v>0</v>
      </c>
      <c r="J10" s="479">
        <f>transport!J54</f>
        <v>0</v>
      </c>
      <c r="K10" s="479">
        <f>transport!K54</f>
        <v>0</v>
      </c>
      <c r="L10" s="479">
        <f>transport!L54</f>
        <v>0</v>
      </c>
      <c r="M10" s="479">
        <f>transport!M54</f>
        <v>79.266849671310027</v>
      </c>
      <c r="N10" s="479">
        <f>transport!N54</f>
        <v>0</v>
      </c>
      <c r="O10" s="479">
        <f>transport!O54</f>
        <v>0</v>
      </c>
      <c r="P10" s="480">
        <f>transport!P54</f>
        <v>0</v>
      </c>
      <c r="Q10" s="478">
        <f t="shared" si="0"/>
        <v>1469.2528517648691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154922.85444704723</v>
      </c>
      <c r="C14" s="489">
        <f t="shared" ref="C14:Q14" ca="1" si="1">SUM(C4:C13)</f>
        <v>29976.428571428572</v>
      </c>
      <c r="D14" s="489">
        <f t="shared" ca="1" si="1"/>
        <v>279480.19137638499</v>
      </c>
      <c r="E14" s="489">
        <f t="shared" si="1"/>
        <v>8977.0106412562673</v>
      </c>
      <c r="F14" s="489">
        <f t="shared" ca="1" si="1"/>
        <v>42890.696420823369</v>
      </c>
      <c r="G14" s="489">
        <f t="shared" si="1"/>
        <v>160478.45100930516</v>
      </c>
      <c r="H14" s="489">
        <f t="shared" si="1"/>
        <v>23980.879225267072</v>
      </c>
      <c r="I14" s="489">
        <f t="shared" si="1"/>
        <v>0</v>
      </c>
      <c r="J14" s="489">
        <f t="shared" si="1"/>
        <v>512.18714425081862</v>
      </c>
      <c r="K14" s="489">
        <f t="shared" si="1"/>
        <v>0</v>
      </c>
      <c r="L14" s="489">
        <f t="shared" ca="1" si="1"/>
        <v>0</v>
      </c>
      <c r="M14" s="489">
        <f t="shared" si="1"/>
        <v>10020.021014051772</v>
      </c>
      <c r="N14" s="489">
        <f t="shared" ca="1" si="1"/>
        <v>28878.985826321965</v>
      </c>
      <c r="O14" s="489">
        <f t="shared" si="1"/>
        <v>370.51000000000005</v>
      </c>
      <c r="P14" s="490">
        <f t="shared" si="1"/>
        <v>705.46666666666658</v>
      </c>
      <c r="Q14" s="490">
        <f t="shared" ca="1" si="1"/>
        <v>741193.6823428038</v>
      </c>
    </row>
    <row r="16" spans="1:17">
      <c r="A16" s="492" t="s">
        <v>566</v>
      </c>
      <c r="B16" s="842">
        <f ca="1">huishoudens!B10</f>
        <v>0.18825951510187292</v>
      </c>
      <c r="C16" s="842">
        <f ca="1">huishoudens!C10</f>
        <v>0.21027916892684595</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8446.5645458048584</v>
      </c>
      <c r="C21" s="479">
        <f t="shared" ref="C21:C30" ca="1" si="3">C4*$C$16</f>
        <v>0</v>
      </c>
      <c r="D21" s="479">
        <f t="shared" ref="D21:D30" si="4">D4*$D$16</f>
        <v>23829.216950785325</v>
      </c>
      <c r="E21" s="479">
        <f t="shared" ref="E21:E30" si="5">E4*$E$16</f>
        <v>915.2286466757256</v>
      </c>
      <c r="F21" s="479">
        <f t="shared" ref="F21:F30" si="6">F4*$F$16</f>
        <v>1685.2150883678246</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34876.22523163374</v>
      </c>
    </row>
    <row r="22" spans="1:17">
      <c r="A22" s="478" t="s">
        <v>156</v>
      </c>
      <c r="B22" s="479">
        <f t="shared" ca="1" si="2"/>
        <v>11179.55579167133</v>
      </c>
      <c r="C22" s="479">
        <f t="shared" ca="1" si="3"/>
        <v>0</v>
      </c>
      <c r="D22" s="479">
        <f t="shared" ca="1" si="4"/>
        <v>18321.779581028</v>
      </c>
      <c r="E22" s="479">
        <f t="shared" si="5"/>
        <v>116.68606576448894</v>
      </c>
      <c r="F22" s="479">
        <f t="shared" ca="1" si="6"/>
        <v>2330.6912196878407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31948.71265815166</v>
      </c>
    </row>
    <row r="23" spans="1:17">
      <c r="A23" s="478" t="s">
        <v>194</v>
      </c>
      <c r="B23" s="479">
        <f t="shared" ca="1" si="2"/>
        <v>440.01312860263937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440.01312860263937</v>
      </c>
    </row>
    <row r="24" spans="1:17">
      <c r="A24" s="478" t="s">
        <v>112</v>
      </c>
      <c r="B24" s="479">
        <f t="shared" ca="1" si="2"/>
        <v>443.02942255360165</v>
      </c>
      <c r="C24" s="479">
        <f t="shared" ca="1" si="3"/>
        <v>6303.4184873949598</v>
      </c>
      <c r="D24" s="479">
        <f t="shared" si="4"/>
        <v>0</v>
      </c>
      <c r="E24" s="479">
        <f t="shared" si="5"/>
        <v>4.9479568842282937</v>
      </c>
      <c r="F24" s="479">
        <f t="shared" si="6"/>
        <v>1594.1896007829437</v>
      </c>
      <c r="G24" s="479">
        <f t="shared" si="7"/>
        <v>0</v>
      </c>
      <c r="H24" s="479">
        <f t="shared" si="8"/>
        <v>0</v>
      </c>
      <c r="I24" s="479">
        <f t="shared" si="9"/>
        <v>0</v>
      </c>
      <c r="J24" s="479">
        <f t="shared" si="10"/>
        <v>127.71816367889052</v>
      </c>
      <c r="K24" s="479">
        <f t="shared" si="11"/>
        <v>0</v>
      </c>
      <c r="L24" s="479">
        <f t="shared" si="12"/>
        <v>0</v>
      </c>
      <c r="M24" s="479">
        <f t="shared" si="13"/>
        <v>0</v>
      </c>
      <c r="N24" s="479">
        <f t="shared" si="14"/>
        <v>0</v>
      </c>
      <c r="O24" s="479">
        <f t="shared" si="15"/>
        <v>0</v>
      </c>
      <c r="P24" s="480">
        <f t="shared" si="16"/>
        <v>0</v>
      </c>
      <c r="Q24" s="478">
        <f t="shared" ca="1" si="17"/>
        <v>8473.3036312946224</v>
      </c>
    </row>
    <row r="25" spans="1:17">
      <c r="A25" s="478" t="s">
        <v>650</v>
      </c>
      <c r="B25" s="479">
        <f t="shared" ca="1" si="2"/>
        <v>8652.2280910237023</v>
      </c>
      <c r="C25" s="479">
        <f t="shared" ca="1" si="3"/>
        <v>0</v>
      </c>
      <c r="D25" s="479">
        <f t="shared" si="4"/>
        <v>14291.390478023999</v>
      </c>
      <c r="E25" s="479">
        <f t="shared" si="5"/>
        <v>901.90112956561711</v>
      </c>
      <c r="F25" s="479">
        <f t="shared" si="6"/>
        <v>5841.7200355212326</v>
      </c>
      <c r="G25" s="479">
        <f t="shared" si="7"/>
        <v>0</v>
      </c>
      <c r="H25" s="479">
        <f t="shared" si="8"/>
        <v>0</v>
      </c>
      <c r="I25" s="479">
        <f t="shared" si="9"/>
        <v>0</v>
      </c>
      <c r="J25" s="479">
        <f t="shared" si="10"/>
        <v>53.596085385899237</v>
      </c>
      <c r="K25" s="479">
        <f t="shared" si="11"/>
        <v>0</v>
      </c>
      <c r="L25" s="479">
        <f t="shared" si="12"/>
        <v>0</v>
      </c>
      <c r="M25" s="479">
        <f t="shared" si="13"/>
        <v>0</v>
      </c>
      <c r="N25" s="479">
        <f t="shared" si="14"/>
        <v>0</v>
      </c>
      <c r="O25" s="479">
        <f t="shared" si="15"/>
        <v>0</v>
      </c>
      <c r="P25" s="480">
        <f t="shared" si="16"/>
        <v>0</v>
      </c>
      <c r="Q25" s="478">
        <f t="shared" ca="1" si="17"/>
        <v>29740.835819520449</v>
      </c>
    </row>
    <row r="26" spans="1:17" s="484" customFormat="1">
      <c r="A26" s="482" t="s">
        <v>571</v>
      </c>
      <c r="B26" s="836">
        <f t="shared" ca="1" si="2"/>
        <v>4.3104767430143252</v>
      </c>
      <c r="C26" s="483">
        <f t="shared" ca="1" si="3"/>
        <v>0</v>
      </c>
      <c r="D26" s="483">
        <f t="shared" si="4"/>
        <v>12.611648192441486</v>
      </c>
      <c r="E26" s="483">
        <f t="shared" si="5"/>
        <v>99.017616675112777</v>
      </c>
      <c r="F26" s="483">
        <f t="shared" si="6"/>
        <v>0</v>
      </c>
      <c r="G26" s="483">
        <f t="shared" si="7"/>
        <v>42476.620156925499</v>
      </c>
      <c r="H26" s="483">
        <f t="shared" si="8"/>
        <v>5971.238927091501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48563.798825627571</v>
      </c>
    </row>
    <row r="27" spans="1:17">
      <c r="A27" s="478" t="s">
        <v>561</v>
      </c>
      <c r="B27" s="479">
        <f t="shared" ca="1" si="2"/>
        <v>0</v>
      </c>
      <c r="C27" s="479">
        <f t="shared" ca="1" si="3"/>
        <v>0</v>
      </c>
      <c r="D27" s="479">
        <f t="shared" si="4"/>
        <v>0</v>
      </c>
      <c r="E27" s="479">
        <f t="shared" si="5"/>
        <v>0</v>
      </c>
      <c r="F27" s="479">
        <f t="shared" si="6"/>
        <v>0</v>
      </c>
      <c r="G27" s="479">
        <f t="shared" si="7"/>
        <v>371.12626255898033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371.12626255898033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29165.701456399151</v>
      </c>
      <c r="C31" s="489">
        <f t="shared" ca="1" si="18"/>
        <v>6303.4184873949598</v>
      </c>
      <c r="D31" s="489">
        <f t="shared" ca="1" si="18"/>
        <v>56454.998658029763</v>
      </c>
      <c r="E31" s="489">
        <f t="shared" si="18"/>
        <v>2037.7814155651727</v>
      </c>
      <c r="F31" s="489">
        <f t="shared" ca="1" si="18"/>
        <v>11451.815944359842</v>
      </c>
      <c r="G31" s="489">
        <f t="shared" si="18"/>
        <v>42847.74641948448</v>
      </c>
      <c r="H31" s="489">
        <f t="shared" si="18"/>
        <v>5971.238927091501</v>
      </c>
      <c r="I31" s="489">
        <f t="shared" si="18"/>
        <v>0</v>
      </c>
      <c r="J31" s="489">
        <f t="shared" si="18"/>
        <v>181.31424906478975</v>
      </c>
      <c r="K31" s="489">
        <f t="shared" si="18"/>
        <v>0</v>
      </c>
      <c r="L31" s="489">
        <f t="shared" ca="1" si="18"/>
        <v>0</v>
      </c>
      <c r="M31" s="489">
        <f t="shared" si="18"/>
        <v>0</v>
      </c>
      <c r="N31" s="489">
        <f t="shared" ca="1" si="18"/>
        <v>0</v>
      </c>
      <c r="O31" s="489">
        <f t="shared" si="18"/>
        <v>0</v>
      </c>
      <c r="P31" s="490">
        <f t="shared" si="18"/>
        <v>0</v>
      </c>
      <c r="Q31" s="490">
        <f t="shared" ca="1" si="18"/>
        <v>154414.01555738965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0.18825951510187292</v>
      </c>
      <c r="C17" s="529">
        <f ca="1">'EF ele_warmte'!B22</f>
        <v>0.21027916892684595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3</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4.6900000000000004</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0.18825951510187292</v>
      </c>
      <c r="C17" s="529">
        <f ca="1">'EF ele_warmte'!B22</f>
        <v>0.21027916892684595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0.18825951510187292</v>
      </c>
      <c r="C29" s="530">
        <f ca="1">'EF ele_warmte'!B22</f>
        <v>0.21027916892684595</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2018-06-27T09:36:41Z</dcterms:modified>
</cp:coreProperties>
</file>