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L16" i="16"/>
  <c r="L18" s="1"/>
  <c r="L8" i="48" s="1"/>
  <c r="C13" i="15"/>
  <c r="C16"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J15"/>
  <c r="J23" s="1"/>
  <c r="P8" i="48"/>
  <c r="P25" s="1"/>
  <c r="N8" i="17"/>
  <c r="O22" i="14" s="1"/>
  <c r="B35" i="13"/>
  <c r="O22" i="16"/>
  <c r="P39" i="14" s="1"/>
  <c r="O18" i="16"/>
  <c r="B36" i="13"/>
  <c r="G31" i="20"/>
  <c r="H43" i="14" s="1"/>
  <c r="G12" i="22"/>
  <c r="D18" i="16"/>
  <c r="D22" s="1"/>
  <c r="E39" i="14" s="1"/>
  <c r="F22"/>
  <c r="E8" i="17"/>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G14" i="22" l="1"/>
  <c r="Q15" i="14"/>
  <c r="Q23" s="1"/>
  <c r="Q55" s="1"/>
  <c r="P41"/>
  <c r="P53" s="1"/>
  <c r="P55" s="1"/>
  <c r="D8" i="4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D31" i="48" l="1"/>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Q4" i="48"/>
  <c r="N22"/>
  <c r="R11" i="14"/>
  <c r="J21" i="48"/>
  <c r="C10" i="17" l="1"/>
  <c r="C12" s="1"/>
  <c r="D48" i="14" s="1"/>
  <c r="C56" i="22"/>
  <c r="C58" s="1"/>
  <c r="D44" i="14" s="1"/>
  <c r="D46" s="1"/>
  <c r="C17" i="49"/>
  <c r="C29" i="20"/>
  <c r="C17" i="19"/>
  <c r="C19" s="1"/>
  <c r="D35" i="14" s="1"/>
  <c r="C20" i="16"/>
  <c r="C22" s="1"/>
  <c r="D39" i="14" s="1"/>
  <c r="C18" i="15"/>
  <c r="C20" s="1"/>
  <c r="D36" i="14" s="1"/>
  <c r="C10" i="13"/>
  <c r="C16" i="48" s="1"/>
  <c r="C30" s="1"/>
  <c r="C16" i="22"/>
  <c r="N25" i="48"/>
  <c r="N31" s="1"/>
  <c r="N14"/>
  <c r="E14"/>
  <c r="F8"/>
  <c r="Q8" s="1"/>
  <c r="Q14" s="1"/>
  <c r="K41" i="14"/>
  <c r="K53" s="1"/>
  <c r="K15"/>
  <c r="K23" s="1"/>
  <c r="K55" s="1"/>
  <c r="H55"/>
  <c r="E55"/>
  <c r="C78"/>
  <c r="C81" s="1"/>
  <c r="J14" i="48"/>
  <c r="J31"/>
  <c r="R19" i="14"/>
  <c r="R20" s="1"/>
  <c r="H14" i="48"/>
  <c r="G31"/>
  <c r="H26"/>
  <c r="H31" s="1"/>
  <c r="F55" i="14"/>
  <c r="O53"/>
  <c r="G53"/>
  <c r="G55" s="1"/>
  <c r="O69" s="1"/>
  <c r="B9" i="6" s="1"/>
  <c r="B12" s="1"/>
  <c r="M53" i="14"/>
  <c r="M55" s="1"/>
  <c r="C23" i="48"/>
  <c r="C27"/>
  <c r="C28"/>
  <c r="C22"/>
  <c r="C25"/>
  <c r="C26"/>
  <c r="R13" i="14"/>
  <c r="R15" s="1"/>
  <c r="F25" i="48"/>
  <c r="F31" s="1"/>
  <c r="F14"/>
  <c r="C24" l="1"/>
  <c r="C29"/>
  <c r="C21"/>
  <c r="C12" i="13"/>
  <c r="D37" i="14" s="1"/>
  <c r="D41" s="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C31" i="48"/>
  <c r="O23" i="14"/>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<sst xmlns="http://schemas.openxmlformats.org/spreadsheetml/2006/main" count="1977" uniqueCount="853">
  <si>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</si>
  <si>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</si>
  <si>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</si>
  <si>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</si>
  <si>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</si>
  <si>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</si>
  <si>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</si>
  <si>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</si>
  <si>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</si>
  <si>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</si>
  <si>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</si>
  <si>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</si>
  <si>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</si>
  <si>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</si>
  <si>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</si>
  <si>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</si>
  <si>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</si>
  <si>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</si>
  <si>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</si>
  <si>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</si>
  <si>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</si>
  <si>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</si>
  <si>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</si>
  <si>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</si>
  <si>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</si>
  <si>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</si>
  <si>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</si>
  <si>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</si>
  <si>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</si>
  <si>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</si>
  <si>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</si>
  <si>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</si>
  <si>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</si>
  <si>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</si>
  <si>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</si>
  <si>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</si>
  <si>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</si>
  <si>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</si>
  <si>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</si>
  <si>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</si>
  <si>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</si>
  <si>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</si>
  <si>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</si>
  <si>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</si>
  <si>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</si>
  <si>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</si>
  <si>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</si>
  <si>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</si>
  <si>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</si>
  <si>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</si>
  <si>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</si>
  <si>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</si>
  <si>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</si>
  <si>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</si>
  <si>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</si>
  <si>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</si>
  <si>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</si>
  <si>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</si>
  <si>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</si>
  <si>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</si>
  <si>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</si>
  <si>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</si>
  <si>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</si>
  <si>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</si>
  <si>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</si>
  <si>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</si>
  <si>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</si>
  <si>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</si>
  <si>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</si>
  <si>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</si>
  <si>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</si>
  <si>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</si>
  <si>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</si>
  <si>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</si>
  <si>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</si>
  <si>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</si>
  <si>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</si>
  <si>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</si>
  <si>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</si>
  <si>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</si>
  <si>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</si>
  <si>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</si>
  <si>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</si>
  <si>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</si>
  <si>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</si>
  <si>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</si>
  <si>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</si>
  <si>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</si>
  <si>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</si>
  <si>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</si>
  <si>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</si>
  <si>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</si>
  <si>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</si>
  <si>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</si>
  <si>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</si>
  <si>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</si>
  <si>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</si>
  <si>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</si>
  <si>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</si>
  <si>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</si>
  <si>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</si>
  <si>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</si>
  <si>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</si>
  <si>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</si>
  <si>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</si>
  <si>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</si>
  <si>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</si>
  <si>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</si>
  <si>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</si>
  <si>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</si>
  <si>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</si>
  <si>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</si>
  <si>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</si>
  <si>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</si>
  <si>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</si>
  <si>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</si>
  <si>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</si>
  <si>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</si>
  <si>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</si>
  <si>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</si>
  <si>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</si>
  <si>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</si>
  <si>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</si>
  <si>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</si>
  <si>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</si>
  <si>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</si>
  <si>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</si>
  <si>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</si>
  <si>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</si>
  <si>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</si>
  <si>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</si>
  <si>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</si>
  <si>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</si>
  <si>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</si>
  <si>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</si>
  <si>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</si>
  <si>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</si>
  <si>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</si>
  <si>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</si>
  <si>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</si>
  <si>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</si>
  <si>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</si>
  <si>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</si>
  <si>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</si>
  <si>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</si>
  <si>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</si>
  <si>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</si>
  <si>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</si>
  <si>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</si>
  <si>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</si>
  <si>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</si>
  <si>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</si>
  <si>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</si>
  <si>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</si>
  <si>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</si>
  <si>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</si>
  <si>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</si>
  <si>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</si>
  <si>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</si>
  <si>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</si>
  <si>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</si>
  <si>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</si>
  <si>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</si>
  <si>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</si>
  <si>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</si>
  <si>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</si>
  <si>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</si>
  <si>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</si>
  <si>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</si>
  <si>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</si>
  <si>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</si>
  <si>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</si>
  <si>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</si>
  <si>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</si>
  <si>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</si>
  <si>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</si>
  <si>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</si>
  <si>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</si>
  <si>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</si>
  <si>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</si>
  <si>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</si>
  <si>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</si>
  <si>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</si>
  <si>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</si>
  <si>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</si>
  <si>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</si>
  <si>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</si>
  <si>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</si>
  <si>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</si>
  <si>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</si>
  <si>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</si>
  <si>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</si>
  <si>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</si>
  <si>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</si>
  <si>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</si>
  <si>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</si>
  <si>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</si>
  <si>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</si>
  <si>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</si>
  <si>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</si>
  <si>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</si>
  <si>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</si>
  <si>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</si>
  <si>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</si>
  <si>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</si>
  <si>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</si>
  <si>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</si>
  <si>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</si>
  <si>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</si>
  <si>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</si>
  <si>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</si>
  <si>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</si>
  <si>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</si>
  <si>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</si>
  <si>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</si>
  <si>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</si>
  <si>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</si>
  <si>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</si>
  <si>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</si>
  <si>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</si>
  <si>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</si>
  <si>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</si>
  <si>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</si>
  <si>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</si>
  <si>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</si>
  <si>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</si>
  <si>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</si>
  <si>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</si>
  <si>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</si>
  <si>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</si>
  <si>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</si>
  <si>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</si>
  <si>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</si>
  <si>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</si>
  <si>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</si>
  <si>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</si>
  <si>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</si>
  <si>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</si>
  <si>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</si>
  <si>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</si>
  <si>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</si>
  <si>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</si>
  <si>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</si>
  <si>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</si>
  <si>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</si>
  <si>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</si>
  <si>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</si>
  <si>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</si>
  <si>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</si>
  <si>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</si>
  <si>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</si>
  <si>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</si>
  <si>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</si>
  <si>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</si>
  <si>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</si>
  <si>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</si>
  <si>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</si>
  <si>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</si>
  <si>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</si>
  <si>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</si>
  <si>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</si>
  <si>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</si>
  <si>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</si>
  <si>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</si>
  <si>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</si>
  <si>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</si>
  <si>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</si>
  <si>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</si>
  <si>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</si>
  <si>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</si>
  <si>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</si>
  <si>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</si>
  <si>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</si>
  <si>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</si>
  <si>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</si>
  <si>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</si>
  <si>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</si>
  <si>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</si>
  <si>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</si>
  <si>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</si>
  <si>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</si>
  <si>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</si>
  <si>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</si>
  <si>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</si>
  <si>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</si>
  <si>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</si>
  <si>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</si>
  <si>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</si>
  <si>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</si>
  <si>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</si>
  <si>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</si>
  <si>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</si>
  <si>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</si>
  <si>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</si>
  <si>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</si>
  <si>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</si>
  <si>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</si>
  <si>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</si>
  <si>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</si>
  <si>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</si>
  <si>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</si>
  <si>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</si>
  <si>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</si>
  <si>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</si>
  <si>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</si>
  <si>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</si>
  <si>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</si>
  <si>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</si>
  <si>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</si>
  <si>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</si>
  <si>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</si>
  <si>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</si>
  <si>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</si>
  <si>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</si>
  <si>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</si>
  <si>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</si>
  <si>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</si>
  <si>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</si>
  <si>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</si>
  <si>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</si>
  <si>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</si>
  <si>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</si>
  <si>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</si>
  <si>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</si>
  <si>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</si>
  <si>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</si>
  <si>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</si>
  <si>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</si>
  <si>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</si>
  <si>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</si>
  <si>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</si>
  <si>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</si>
  <si>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</si>
  <si>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</si>
  <si>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</si>
  <si>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</si>
  <si>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</si>
  <si>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</si>
  <si>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</si>
  <si>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</si>
  <si>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</si>
  <si>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</si>
  <si>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</si>
  <si>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</si>
  <si>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</si>
  <si>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</si>
  <si>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</si>
  <si>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</si>
  <si>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</si>
  <si>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</si>
  <si>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</si>
  <si>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</si>
  <si>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</si>
  <si>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</si>
  <si>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</si>
  <si>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</si>
  <si>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</si>
  <si>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</si>
  <si>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</si>
  <si>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</si>
  <si>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</si>
  <si>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</si>
  <si>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</si>
  <si>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</si>
  <si>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</si>
  <si>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</si>
  <si>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</si>
  <si>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</si>
  <si>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</si>
  <si>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</si>
  <si>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</si>
  <si>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</si>
  <si>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</si>
  <si>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</si>
  <si>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</si>
  <si>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</si>
  <si>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</si>
  <si>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</si>
  <si>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</si>
  <si>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</si>
  <si>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</si>
  <si>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</si>
  <si>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</si>
  <si>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</si>
  <si>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</si>
  <si>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</si>
  <si>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</si>
  <si>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</si>
  <si>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</si>
  <si>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</si>
  <si>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</si>
  <si>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</si>
  <si>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</si>
  <si>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</si>
  <si>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</si>
  <si>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</si>
  <si>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</si>
  <si>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</si>
  <si>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</si>
  <si>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</si>
  <si>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</si>
  <si>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</si>
  <si>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</si>
  <si>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</si>
  <si>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</si>
  <si>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</si>
  <si>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</si>
  <si>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</si>
  <si>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</si>
  <si>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</si>
  <si>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</si>
  <si>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</si>
  <si>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</si>
  <si>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</si>
  <si>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</si>
  <si>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</si>
  <si>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</si>
  <si>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</si>
  <si>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</si>
  <si>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</si>
  <si>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</si>
  <si>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</si>
  <si>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</si>
  <si>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</si>
  <si>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</si>
  <si>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</si>
  <si>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</si>
  <si>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</si>
  <si>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</si>
  <si>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</si>
  <si>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</si>
  <si>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</si>
  <si>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</si>
  <si>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</si>
  <si>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</si>
  <si>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</si>
  <si>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</si>
  <si>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</si>
  <si>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</si>
  <si>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</si>
  <si>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</si>
  <si>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</si>
  <si>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</si>
  <si>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</si>
  <si>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</si>
  <si>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</si>
  <si>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</si>
  <si>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</si>
  <si>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</si>
  <si>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</si>
  <si>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</si>
  <si>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</si>
  <si>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</si>
  <si>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</si>
  <si>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</si>
  <si>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</si>
  <si>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</si>
  <si>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</si>
  <si>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</si>
  <si>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</si>
  <si>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</si>
  <si>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</si>
  <si>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</si>
  <si>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</si>
  <si>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</si>
  <si>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</si>
  <si>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</si>
  <si>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</si>
  <si>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</si>
  <si>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</si>
  <si>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</si>
  <si>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</si>
  <si>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</si>
  <si>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</si>
  <si>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</si>
  <si>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</si>
  <si>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</si>
  <si>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</si>
  <si>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</si>
  <si>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</si>
  <si>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</si>
  <si>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</si>
  <si>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</si>
  <si>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</si>
  <si>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</si>
  <si>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</si>
  <si>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</si>
  <si>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</si>
  <si>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</si>
  <si>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</si>
  <si>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</si>
  <si>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</si>
  <si>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</si>
  <si>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</si>
  <si>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</si>
  <si>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</si>
  <si>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</si>
  <si>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</si>
  <si>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</si>
  <si>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</si>
  <si>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</si>
  <si>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</si>
  <si>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</si>
  <si>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</si>
  <si>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</si>
  <si>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</si>
  <si>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</si>
  <si>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</si>
  <si>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</si>
  <si>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</si>
  <si>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</si>
  <si>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</si>
  <si>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</si>
  <si>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</si>
  <si>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</si>
  <si>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</si>
  <si>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</si>
  <si>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</si>
  <si>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</si>
  <si>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</si>
  <si>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</si>
  <si>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</si>
  <si>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</si>
  <si>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</si>
  <si>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</si>
  <si>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</si>
  <si>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</si>
  <si>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</si>
  <si>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</si>
  <si>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</si>
  <si>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</si>
  <si>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</si>
  <si>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</si>
  <si>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</si>
  <si>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</si>
  <si>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</si>
  <si>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</si>
  <si>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</si>
  <si>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</si>
  <si>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</si>
  <si>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</si>
  <si>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</si>
  <si>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</si>
  <si>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</si>
  <si>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</si>
  <si>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</si>
  <si>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</si>
  <si>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</si>
  <si>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</si>
  <si>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</si>
  <si>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</si>
  <si>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</si>
  <si>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</si>
  <si>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</si>
  <si>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</si>
  <si>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</si>
  <si>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</si>
  <si>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</si>
  <si>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</si>
  <si>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</si>
  <si>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</si>
  <si>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</si>
  <si>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</si>
  <si>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</si>
  <si>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</si>
  <si>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</si>
  <si>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</si>
  <si>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</si>
  <si>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</si>
  <si>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</si>
  <si>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</si>
  <si>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</si>
  <si>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</si>
  <si>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</si>
  <si>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</si>
  <si>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</si>
  <si>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</si>
  <si>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</si>
  <si>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</si>
  <si>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</si>
  <si>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</si>
  <si>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</si>
  <si>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</si>
  <si>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</si>
  <si>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</si>
  <si>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</si>
  <si>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</si>
  <si>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</si>
  <si>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</si>
  <si>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</si>
  <si>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</si>
  <si>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</si>
  <si>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</si>
  <si>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</si>
  <si>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</si>
  <si>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</si>
  <si>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</si>
  <si>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</si>
  <si>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</si>
  <si>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</si>
  <si>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</si>
  <si>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</si>
  <si>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</si>
  <si>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</si>
  <si>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</si>
  <si>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</si>
  <si>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</si>
  <si>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</si>
  <si>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</si>
  <si>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</si>
  <si>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</si>
  <si>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</si>
  <si>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</si>
  <si>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</si>
  <si>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</si>
  <si>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</si>
  <si>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</si>
  <si>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</si>
  <si>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</si>
  <si>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</si>
  <si>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</si>
  <si>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</si>
  <si>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</si>
  <si>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</si>
  <si>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</si>
  <si>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</si>
  <si>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</si>
  <si>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</si>
  <si>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</si>
  <si>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</si>
  <si>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</si>
  <si>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</si>
  <si>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</si>
  <si>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</si>
  <si>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</si>
  <si>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</si>
  <si>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</si>
  <si>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</si>
  <si>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</si>
  <si>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</si>
  <si>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</si>
  <si>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</si>
  <si>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</si>
  <si>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</si>
  <si>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</si>
  <si>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</si>
  <si>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</si>
  <si>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</si>
  <si>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</si>
  <si>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</si>
  <si>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</si>
  <si>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</si>
  <si>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</si>
  <si>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</si>
  <si>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</si>
  <si>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</si>
  <si>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</si>
  <si>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</si>
  <si>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</si>
  <si>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</si>
  <si>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</si>
  <si>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</si>
  <si>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</si>
  <si>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</si>
  <si>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</si>
  <si>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</si>
  <si>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</si>
  <si>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</si>
  <si>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</si>
  <si>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</si>
  <si>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</si>
  <si>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</si>
  <si>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</si>
  <si>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</si>
  <si>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</si>
  <si>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</si>
  <si>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</si>
  <si>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</si>
  <si>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</si>
  <si>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</si>
  <si>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</si>
  <si>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</si>
  <si>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</si>
  <si>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</si>
  <si>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</si>
  <si>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</si>
  <si>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</si>
  <si>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</si>
  <si>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</si>
  <si>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</si>
  <si>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</si>
  <si>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</si>
  <si>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</si>
  <si>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</si>
  <si>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</si>
  <si>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</si>
  <si>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</si>
  <si>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</si>
  <si>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</si>
  <si>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</si>
  <si>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</si>
  <si>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</si>
  <si>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</si>
  <si>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</si>
  <si>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</si>
  <si>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</si>
  <si>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</si>
  <si>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</si>
  <si>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</si>
  <si>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</si>
  <si>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</si>
  <si>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</si>
  <si>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</si>
  <si>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</si>
  <si>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</si>
  <si>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</si>
  <si>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</si>
  <si>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</si>
  <si>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</si>
  <si>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</si>
  <si>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</si>
  <si>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</si>
  <si>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</si>
  <si>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</si>
  <si>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</si>
  <si>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</si>
  <si>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</si>
  <si>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</si>
  <si>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</si>
  <si>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</si>
  <si>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</si>
  <si>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</si>
  <si>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</si>
  <si>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</si>
  <si>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</si>
  <si>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</si>
  <si>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</si>
  <si>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</si>
  <si>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</si>
  <si>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</si>
  <si>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</si>
  <si>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</si>
  <si>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</si>
  <si>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</si>
  <si>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</si>
  <si>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</si>
  <si>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</si>
  <si>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</si>
  <si>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</si>
  <si>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</si>
  <si>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</si>
  <si>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</si>
  <si>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</si>
  <si>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</si>
  <si>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</si>
  <si>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</si>
  <si>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</si>
  <si>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</si>
  <si>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</si>
  <si>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</si>
  <si>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</si>
  <si>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</si>
  <si>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</si>
  <si>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</si>
  <si>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</si>
  <si>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</si>
  <si>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</si>
  <si>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</si>
  <si>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</si>
  <si>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</si>
  <si>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</si>
  <si>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</si>
  <si>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</si>
  <si>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</si>
  <si>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</si>
  <si>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</si>
  <si>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</si>
  <si>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</si>
  <si>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</si>
  <si>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</si>
  <si>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</si>
  <si>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</si>
  <si>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</si>
  <si>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</si>
  <si>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</si>
  <si>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</si>
  <si>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</si>
  <si>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</si>
  <si>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</si>
  <si>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</si>
  <si>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</si>
  <si>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</si>
  <si>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</si>
  <si>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</si>
  <si>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</si>
  <si>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</si>
  <si>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</si>
  <si>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</si>
  <si>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</si>
  <si>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</si>
  <si>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</si>
  <si>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</si>
  <si>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</si>
  <si>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</si>
  <si>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</si>
  <si>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</si>
  <si>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</si>
  <si>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</si>
  <si>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</si>
  <si>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</si>
  <si>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</si>
  <si>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</si>
  <si>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</si>
  <si>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</si>
  <si>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</si>
  <si>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</si>
  <si>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</si>
  <si>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</si>
  <si>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</si>
  <si>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</si>
  <si>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</si>
  <si>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</si>
  <si>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</si>
  <si>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</si>
  <si>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</si>
  <si>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</si>
  <si>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32003</t>
  </si>
  <si>
    <t>DIKSMUIDE</t>
  </si>
  <si>
    <t>Paarden&amp;pony's 200 - 600 kg</t>
  </si>
  <si>
    <t>Paarden&amp;pony's &lt; 200 kg</t>
  </si>
  <si>
    <t>referentietaak LNE (2017); Jaarverslag De Lijn (2014)</t>
  </si>
  <si>
    <t>op basis van VEA (maart 2018) en Inventaris Hernieuwbare Energiebronnen (juni 2018)</t>
  </si>
  <si>
    <t>VEA (maart 2016)</t>
  </si>
  <si>
    <t>VEA (juni 2018)</t>
  </si>
  <si>
    <t>Biolectric nv</t>
  </si>
  <si>
    <t>Jan de Malschelaan 4 B, 9140 Temse</t>
  </si>
  <si>
    <t>WKK-0452 Johan Hollevoet</t>
  </si>
  <si>
    <t>interne verbrandingsmotor</t>
  </si>
  <si>
    <t>WKK interne verbrandinsgmotor (gas)</t>
  </si>
  <si>
    <t>Pervijzestraat 69 , 8600 Diksmuide</t>
  </si>
  <si>
    <t>Infrax West</t>
  </si>
  <si>
    <t>Ijzer Energie nv in faling</t>
  </si>
  <si>
    <t>Bosstraat 36 , 8790 Waregem</t>
  </si>
  <si>
    <t>BGS-0060 Ijzer Energie -agr.verg</t>
  </si>
  <si>
    <t>biogas - hoofdzakelijk agrarische stromen</t>
  </si>
  <si>
    <t>niet WKK interne verbrandingsmotor (gas)</t>
  </si>
  <si>
    <t>Jagersstraat 4 A, 8600 Diksmuide</t>
  </si>
  <si>
    <t>Stuwekinswal – Beuselinck LV</t>
  </si>
  <si>
    <t>Viconiastraat 27 , 8600 Diksmuide</t>
  </si>
  <si>
    <t>BMS-0070 Beuselinck</t>
  </si>
  <si>
    <t>biomassa uit land- of bosbouw</t>
  </si>
  <si>
    <t>niet WKK interne verbrandingsmotor (vloeibaar)</t>
  </si>
  <si>
    <t>eilandwerking</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</si>
</sst>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133761.36078015741</c:v>
                </c:pt>
                <c:pt idx="1">
                  <c:v>60151.683926332473</c:v>
                </c:pt>
                <c:pt idx="2">
                  <c:v>1334.204</c:v>
                </c:pt>
                <c:pt idx="3">
                  <c:v>36201.362176830327</c:v>
                </c:pt>
                <c:pt idx="4">
                  <c:v>58396.253274981194</c:v>
                </c:pt>
                <c:pt idx="5">
                  <c:v>130023.85747831906</c:v>
                </c:pt>
                <c:pt idx="6">
                  <c:v>1981.3873808111587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133761.36078015741</c:v>
                </c:pt>
                <c:pt idx="1">
                  <c:v>60151.683926332473</c:v>
                </c:pt>
                <c:pt idx="2">
                  <c:v>1334.204</c:v>
                </c:pt>
                <c:pt idx="3">
                  <c:v>36201.362176830327</c:v>
                </c:pt>
                <c:pt idx="4">
                  <c:v>58396.253274981194</c:v>
                </c:pt>
                <c:pt idx="5">
                  <c:v>130023.85747831906</c:v>
                </c:pt>
                <c:pt idx="6">
                  <c:v>1981.3873808111587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23314.912362745858</c:v>
                </c:pt>
                <c:pt idx="1">
                  <c:v>10673.321060063843</c:v>
                </c:pt>
                <c:pt idx="2">
                  <c:v>252.01596330887557</c:v>
                </c:pt>
                <c:pt idx="3">
                  <c:v>8969.928146639344</c:v>
                </c:pt>
                <c:pt idx="4">
                  <c:v>11596.466563625003</c:v>
                </c:pt>
                <c:pt idx="5">
                  <c:v>32583.058730110111</c:v>
                </c:pt>
                <c:pt idx="6">
                  <c:v>500.48900190234428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83566720"/>
      </c:barChart>
      <c:catAx>
        <c:axId val="177216128"/>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23314.912362745858</c:v>
                </c:pt>
                <c:pt idx="1">
                  <c:v>10673.321060063843</c:v>
                </c:pt>
                <c:pt idx="2">
                  <c:v>252.01596330887557</c:v>
                </c:pt>
                <c:pt idx="3">
                  <c:v>8969.928146639344</c:v>
                </c:pt>
                <c:pt idx="4">
                  <c:v>11596.466563625003</c:v>
                </c:pt>
                <c:pt idx="5">
                  <c:v>32583.058730110111</c:v>
                </c:pt>
                <c:pt idx="6">
                  <c:v>500.48900190234428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32003</v>
      </c>
      <c r="B6" s="416"/>
      <c r="C6" s="417"/>
    </row>
    <row r="7" spans="1:7" s="414" customFormat="1" ht="15.75" customHeight="1">
      <c r="A7" s="418" t="str">
        <f>txtMunicipality</f>
        <v>DIKSMUIDE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32003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6984</v>
      </c>
      <c r="C9" s="342">
        <v>7181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12287</v>
      </c>
    </row>
    <row r="15" spans="1:6">
      <c r="A15" s="348" t="s">
        <v>184</v>
      </c>
      <c r="B15" s="334">
        <v>167</v>
      </c>
    </row>
    <row r="16" spans="1:6">
      <c r="A16" s="348" t="s">
        <v>6</v>
      </c>
      <c r="B16" s="334">
        <v>6738</v>
      </c>
    </row>
    <row r="17" spans="1:6">
      <c r="A17" s="348" t="s">
        <v>7</v>
      </c>
      <c r="B17" s="334">
        <v>3317</v>
      </c>
    </row>
    <row r="18" spans="1:6">
      <c r="A18" s="348" t="s">
        <v>8</v>
      </c>
      <c r="B18" s="334">
        <v>6020</v>
      </c>
    </row>
    <row r="19" spans="1:6">
      <c r="A19" s="348" t="s">
        <v>9</v>
      </c>
      <c r="B19" s="334">
        <v>6081</v>
      </c>
    </row>
    <row r="20" spans="1:6">
      <c r="A20" s="348" t="s">
        <v>10</v>
      </c>
      <c r="B20" s="334">
        <v>4077</v>
      </c>
    </row>
    <row r="21" spans="1:6">
      <c r="A21" s="348" t="s">
        <v>11</v>
      </c>
      <c r="B21" s="334">
        <v>57279</v>
      </c>
    </row>
    <row r="22" spans="1:6">
      <c r="A22" s="348" t="s">
        <v>12</v>
      </c>
      <c r="B22" s="334">
        <v>114724</v>
      </c>
    </row>
    <row r="23" spans="1:6">
      <c r="A23" s="348" t="s">
        <v>13</v>
      </c>
      <c r="B23" s="334">
        <v>1745</v>
      </c>
    </row>
    <row r="24" spans="1:6">
      <c r="A24" s="348" t="s">
        <v>14</v>
      </c>
      <c r="B24" s="334">
        <v>96</v>
      </c>
    </row>
    <row r="25" spans="1:6">
      <c r="A25" s="348" t="s">
        <v>15</v>
      </c>
      <c r="B25" s="334">
        <v>12685</v>
      </c>
    </row>
    <row r="26" spans="1:6">
      <c r="A26" s="348" t="s">
        <v>16</v>
      </c>
      <c r="B26" s="334">
        <v>1571</v>
      </c>
    </row>
    <row r="27" spans="1:6">
      <c r="A27" s="348" t="s">
        <v>17</v>
      </c>
      <c r="B27" s="334">
        <v>4</v>
      </c>
    </row>
    <row r="28" spans="1:6" s="356" customFormat="1">
      <c r="A28" s="355" t="s">
        <v>18</v>
      </c>
      <c r="B28" s="355">
        <v>320037</v>
      </c>
    </row>
    <row r="29" spans="1:6">
      <c r="A29" s="355" t="s">
        <v>828</v>
      </c>
      <c r="B29" s="355">
        <v>166</v>
      </c>
      <c r="C29" s="356"/>
      <c r="D29" s="356"/>
      <c r="E29" s="356"/>
      <c r="F29" s="356"/>
    </row>
    <row r="30" spans="1:6">
      <c r="A30" s="341" t="s">
        <v>829</v>
      </c>
      <c r="B30" s="341">
        <v>36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13</v>
      </c>
      <c r="F36" s="334">
        <v>76073</v>
      </c>
    </row>
    <row r="37" spans="1:6">
      <c r="A37" s="348" t="s">
        <v>25</v>
      </c>
      <c r="B37" s="348" t="s">
        <v>28</v>
      </c>
      <c r="C37" s="334">
        <v>0</v>
      </c>
      <c r="D37" s="334">
        <v>0</v>
      </c>
      <c r="E37" s="334">
        <v>0</v>
      </c>
      <c r="F37" s="334">
        <v>0</v>
      </c>
    </row>
    <row r="38" spans="1:6">
      <c r="A38" s="348" t="s">
        <v>25</v>
      </c>
      <c r="B38" s="348" t="s">
        <v>29</v>
      </c>
      <c r="C38" s="334">
        <v>2</v>
      </c>
      <c r="D38" s="334">
        <v>954348</v>
      </c>
      <c r="E38" s="334">
        <v>0</v>
      </c>
      <c r="F38" s="334">
        <v>0</v>
      </c>
    </row>
    <row r="39" spans="1:6">
      <c r="A39" s="348" t="s">
        <v>30</v>
      </c>
      <c r="B39" s="348" t="s">
        <v>31</v>
      </c>
      <c r="C39" s="334">
        <v>4307</v>
      </c>
      <c r="D39" s="334">
        <v>65818646</v>
      </c>
      <c r="E39" s="334">
        <v>6619</v>
      </c>
      <c r="F39" s="334">
        <v>25572793.739999998</v>
      </c>
    </row>
    <row r="40" spans="1:6">
      <c r="A40" s="348" t="s">
        <v>30</v>
      </c>
      <c r="B40" s="348" t="s">
        <v>29</v>
      </c>
      <c r="C40" s="334">
        <v>0</v>
      </c>
      <c r="D40" s="334">
        <v>0</v>
      </c>
      <c r="E40" s="334">
        <v>0</v>
      </c>
      <c r="F40" s="334">
        <v>0</v>
      </c>
    </row>
    <row r="41" spans="1:6">
      <c r="A41" s="348" t="s">
        <v>32</v>
      </c>
      <c r="B41" s="348" t="s">
        <v>33</v>
      </c>
      <c r="C41" s="334">
        <v>114</v>
      </c>
      <c r="D41" s="334">
        <v>9185094</v>
      </c>
      <c r="E41" s="334">
        <v>200</v>
      </c>
      <c r="F41" s="334">
        <v>10327142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17</v>
      </c>
      <c r="D44" s="334">
        <v>1695286</v>
      </c>
      <c r="E44" s="334">
        <v>52</v>
      </c>
      <c r="F44" s="334">
        <v>2693711</v>
      </c>
    </row>
    <row r="45" spans="1:6">
      <c r="A45" s="348" t="s">
        <v>32</v>
      </c>
      <c r="B45" s="348" t="s">
        <v>37</v>
      </c>
      <c r="C45" s="334">
        <v>0</v>
      </c>
      <c r="D45" s="334">
        <v>0</v>
      </c>
      <c r="E45" s="334">
        <v>3</v>
      </c>
      <c r="F45" s="334">
        <v>288264</v>
      </c>
    </row>
    <row r="46" spans="1:6">
      <c r="A46" s="348" t="s">
        <v>32</v>
      </c>
      <c r="B46" s="348" t="s">
        <v>38</v>
      </c>
      <c r="C46" s="334">
        <v>0</v>
      </c>
      <c r="D46" s="334">
        <v>0</v>
      </c>
      <c r="E46" s="334">
        <v>0</v>
      </c>
      <c r="F46" s="334">
        <v>0</v>
      </c>
    </row>
    <row r="47" spans="1:6">
      <c r="A47" s="348" t="s">
        <v>32</v>
      </c>
      <c r="B47" s="348" t="s">
        <v>39</v>
      </c>
      <c r="C47" s="334">
        <v>4</v>
      </c>
      <c r="D47" s="334">
        <v>114725</v>
      </c>
      <c r="E47" s="334">
        <v>5</v>
      </c>
      <c r="F47" s="334">
        <v>303865</v>
      </c>
    </row>
    <row r="48" spans="1:6">
      <c r="A48" s="348" t="s">
        <v>32</v>
      </c>
      <c r="B48" s="348" t="s">
        <v>29</v>
      </c>
      <c r="C48" s="334">
        <v>3</v>
      </c>
      <c r="D48" s="334">
        <v>277299</v>
      </c>
      <c r="E48" s="334">
        <v>3</v>
      </c>
      <c r="F48" s="334">
        <v>34176</v>
      </c>
    </row>
    <row r="49" spans="1:6">
      <c r="A49" s="348" t="s">
        <v>32</v>
      </c>
      <c r="B49" s="348" t="s">
        <v>40</v>
      </c>
      <c r="C49" s="334">
        <v>0</v>
      </c>
      <c r="D49" s="334">
        <v>0</v>
      </c>
      <c r="E49" s="334">
        <v>0</v>
      </c>
      <c r="F49" s="334">
        <v>0</v>
      </c>
    </row>
    <row r="50" spans="1:6">
      <c r="A50" s="348" t="s">
        <v>32</v>
      </c>
      <c r="B50" s="348" t="s">
        <v>41</v>
      </c>
      <c r="C50" s="334">
        <v>19</v>
      </c>
      <c r="D50" s="334">
        <v>1074434</v>
      </c>
      <c r="E50" s="334">
        <v>37</v>
      </c>
      <c r="F50" s="334">
        <v>5260300</v>
      </c>
    </row>
    <row r="51" spans="1:6">
      <c r="A51" s="348" t="s">
        <v>42</v>
      </c>
      <c r="B51" s="348" t="s">
        <v>43</v>
      </c>
      <c r="C51" s="334">
        <v>38</v>
      </c>
      <c r="D51" s="334">
        <v>1002777</v>
      </c>
      <c r="E51" s="334">
        <v>376</v>
      </c>
      <c r="F51" s="334">
        <v>9485569.1253405996</v>
      </c>
    </row>
    <row r="52" spans="1:6">
      <c r="A52" s="348" t="s">
        <v>42</v>
      </c>
      <c r="B52" s="348" t="s">
        <v>29</v>
      </c>
      <c r="C52" s="334">
        <v>0</v>
      </c>
      <c r="D52" s="334">
        <v>0</v>
      </c>
      <c r="E52" s="334">
        <v>1</v>
      </c>
      <c r="F52" s="334">
        <v>37876</v>
      </c>
    </row>
    <row r="53" spans="1:6">
      <c r="A53" s="348" t="s">
        <v>44</v>
      </c>
      <c r="B53" s="348" t="s">
        <v>45</v>
      </c>
      <c r="C53" s="334">
        <v>0</v>
      </c>
      <c r="D53" s="334">
        <v>0</v>
      </c>
      <c r="E53" s="334">
        <v>0</v>
      </c>
      <c r="F53" s="334">
        <v>0</v>
      </c>
    </row>
    <row r="54" spans="1:6">
      <c r="A54" s="348" t="s">
        <v>46</v>
      </c>
      <c r="B54" s="348" t="s">
        <v>47</v>
      </c>
      <c r="C54" s="334">
        <v>0</v>
      </c>
      <c r="D54" s="334">
        <v>0</v>
      </c>
      <c r="E54" s="334">
        <v>97</v>
      </c>
      <c r="F54" s="334">
        <v>1334204</v>
      </c>
    </row>
    <row r="55" spans="1:6">
      <c r="A55" s="348" t="s">
        <v>46</v>
      </c>
      <c r="B55" s="348" t="s">
        <v>29</v>
      </c>
      <c r="C55" s="334">
        <v>0</v>
      </c>
      <c r="D55" s="334">
        <v>0</v>
      </c>
      <c r="E55" s="334">
        <v>0</v>
      </c>
      <c r="F55" s="334">
        <v>0</v>
      </c>
    </row>
    <row r="56" spans="1:6">
      <c r="A56" s="348" t="s">
        <v>48</v>
      </c>
      <c r="B56" s="348" t="s">
        <v>29</v>
      </c>
      <c r="C56" s="334">
        <v>60</v>
      </c>
      <c r="D56" s="334">
        <v>978190</v>
      </c>
      <c r="E56" s="334">
        <v>152</v>
      </c>
      <c r="F56" s="334">
        <v>576414</v>
      </c>
    </row>
    <row r="57" spans="1:6">
      <c r="A57" s="348" t="s">
        <v>49</v>
      </c>
      <c r="B57" s="348" t="s">
        <v>50</v>
      </c>
      <c r="C57" s="334">
        <v>38</v>
      </c>
      <c r="D57" s="334">
        <v>1671945</v>
      </c>
      <c r="E57" s="334">
        <v>115</v>
      </c>
      <c r="F57" s="334">
        <v>9775238</v>
      </c>
    </row>
    <row r="58" spans="1:6">
      <c r="A58" s="348" t="s">
        <v>49</v>
      </c>
      <c r="B58" s="348" t="s">
        <v>51</v>
      </c>
      <c r="C58" s="334">
        <v>31</v>
      </c>
      <c r="D58" s="334">
        <v>1790121</v>
      </c>
      <c r="E58" s="334">
        <v>42</v>
      </c>
      <c r="F58" s="334">
        <v>1331794</v>
      </c>
    </row>
    <row r="59" spans="1:6">
      <c r="A59" s="348" t="s">
        <v>49</v>
      </c>
      <c r="B59" s="348" t="s">
        <v>52</v>
      </c>
      <c r="C59" s="334">
        <v>152</v>
      </c>
      <c r="D59" s="334">
        <v>5517623</v>
      </c>
      <c r="E59" s="334">
        <v>325</v>
      </c>
      <c r="F59" s="334">
        <v>9870671.8352117911</v>
      </c>
    </row>
    <row r="60" spans="1:6">
      <c r="A60" s="348" t="s">
        <v>49</v>
      </c>
      <c r="B60" s="348" t="s">
        <v>53</v>
      </c>
      <c r="C60" s="334">
        <v>64</v>
      </c>
      <c r="D60" s="334">
        <v>3464684</v>
      </c>
      <c r="E60" s="334">
        <v>98</v>
      </c>
      <c r="F60" s="334">
        <v>2585458</v>
      </c>
    </row>
    <row r="61" spans="1:6">
      <c r="A61" s="348" t="s">
        <v>49</v>
      </c>
      <c r="B61" s="348" t="s">
        <v>54</v>
      </c>
      <c r="C61" s="334">
        <v>125</v>
      </c>
      <c r="D61" s="334">
        <v>4854768</v>
      </c>
      <c r="E61" s="334">
        <v>397</v>
      </c>
      <c r="F61" s="334">
        <v>4659282.1367490636</v>
      </c>
    </row>
    <row r="62" spans="1:6">
      <c r="A62" s="348" t="s">
        <v>49</v>
      </c>
      <c r="B62" s="348" t="s">
        <v>55</v>
      </c>
      <c r="C62" s="334">
        <v>20</v>
      </c>
      <c r="D62" s="334">
        <v>3437034</v>
      </c>
      <c r="E62" s="334">
        <v>25</v>
      </c>
      <c r="F62" s="334">
        <v>958124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156911</v>
      </c>
      <c r="E68" s="334">
        <v>20</v>
      </c>
      <c r="F68" s="334">
        <v>401206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126847917</v>
      </c>
      <c r="E73" s="477">
        <v>135485807.81049928</v>
      </c>
    </row>
    <row r="74" spans="1:6">
      <c r="A74" s="348" t="s">
        <v>64</v>
      </c>
      <c r="B74" s="348" t="s">
        <v>714</v>
      </c>
      <c r="C74" s="1229" t="s">
        <v>716</v>
      </c>
      <c r="D74" s="477">
        <v>12380122.993560035</v>
      </c>
      <c r="E74" s="477">
        <v>12984598.960014697</v>
      </c>
    </row>
    <row r="75" spans="1:6">
      <c r="A75" s="348" t="s">
        <v>65</v>
      </c>
      <c r="B75" s="348" t="s">
        <v>713</v>
      </c>
      <c r="C75" s="1229" t="s">
        <v>717</v>
      </c>
      <c r="D75" s="477">
        <v>22109080</v>
      </c>
      <c r="E75" s="477">
        <v>24100944.661640592</v>
      </c>
    </row>
    <row r="76" spans="1:6">
      <c r="A76" s="348" t="s">
        <v>65</v>
      </c>
      <c r="B76" s="348" t="s">
        <v>714</v>
      </c>
      <c r="C76" s="1229" t="s">
        <v>718</v>
      </c>
      <c r="D76" s="477">
        <v>658264.99356003397</v>
      </c>
      <c r="E76" s="477">
        <v>665465.54947109765</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529474.01287993207</v>
      </c>
      <c r="C83" s="477">
        <v>533993.85480109043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2803.1050047492131</v>
      </c>
    </row>
    <row r="91" spans="1:6">
      <c r="A91" s="348" t="s">
        <v>68</v>
      </c>
      <c r="B91" s="334">
        <v>3701.692095866274</v>
      </c>
    </row>
    <row r="92" spans="1:6">
      <c r="A92" s="341" t="s">
        <v>69</v>
      </c>
      <c r="B92" s="342">
        <v>4427.937259468722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2561</v>
      </c>
    </row>
    <row r="98" spans="1:6">
      <c r="A98" s="348" t="s">
        <v>72</v>
      </c>
      <c r="B98" s="334">
        <v>4</v>
      </c>
    </row>
    <row r="99" spans="1:6">
      <c r="A99" s="348" t="s">
        <v>73</v>
      </c>
      <c r="B99" s="334">
        <v>213</v>
      </c>
    </row>
    <row r="100" spans="1:6">
      <c r="A100" s="348" t="s">
        <v>74</v>
      </c>
      <c r="B100" s="334">
        <v>556</v>
      </c>
    </row>
    <row r="101" spans="1:6">
      <c r="A101" s="348" t="s">
        <v>75</v>
      </c>
      <c r="B101" s="334">
        <v>182</v>
      </c>
    </row>
    <row r="102" spans="1:6">
      <c r="A102" s="348" t="s">
        <v>76</v>
      </c>
      <c r="B102" s="334">
        <v>108</v>
      </c>
    </row>
    <row r="103" spans="1:6">
      <c r="A103" s="348" t="s">
        <v>77</v>
      </c>
      <c r="B103" s="334">
        <v>282</v>
      </c>
    </row>
    <row r="104" spans="1:6">
      <c r="A104" s="348" t="s">
        <v>78</v>
      </c>
      <c r="B104" s="334">
        <v>2006</v>
      </c>
    </row>
    <row r="105" spans="1:6">
      <c r="A105" s="341" t="s">
        <v>79</v>
      </c>
      <c r="B105" s="341">
        <v>12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147</v>
      </c>
    </row>
    <row r="130" spans="1:6">
      <c r="A130" s="348" t="s">
        <v>295</v>
      </c>
      <c r="B130" s="334">
        <v>2</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88240.576014098377</v>
      </c>
      <c r="C3" s="43" t="s">
        <v>170</v>
      </c>
      <c r="D3" s="43"/>
      <c r="E3" s="154"/>
      <c r="F3" s="43"/>
      <c r="G3" s="43"/>
      <c r="H3" s="43"/>
      <c r="I3" s="43"/>
      <c r="J3" s="43"/>
      <c r="K3" s="96"/>
    </row>
    <row r="4" spans="1:11">
      <c r="A4" s="384" t="s">
        <v>171</v>
      </c>
      <c r="B4" s="49">
        <f>IF(ISERROR('SEAP template'!B69),0,'SEAP template'!B69)</f>
        <v>12821.384360084208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0.18888862820743724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1334.204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1334.204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0.18888862820743724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252.01596330887557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25572.793739999997</v>
      </c>
      <c r="C5" s="17">
        <f>IF(ISERROR('Eigen informatie GS &amp; warmtenet'!B57),0,'Eigen informatie GS &amp; warmtenet'!B57)</f>
        <v>0</v>
      </c>
      <c r="D5" s="30">
        <f>(SUM(HH_hh_gas_kWh,HH_rest_gas_kWh)/1000)*0.902</f>
        <v>59368.418691999992</v>
      </c>
      <c r="E5" s="17">
        <f>B46*B57</f>
        <v>7044.5448395868389</v>
      </c>
      <c r="F5" s="17">
        <f>B51*B62</f>
        <v>10698.324793958645</v>
      </c>
      <c r="G5" s="18"/>
      <c r="H5" s="17"/>
      <c r="I5" s="17"/>
      <c r="J5" s="17">
        <f>B50*B61+C50*C61</f>
        <v>3777.7116309995936</v>
      </c>
      <c r="K5" s="17"/>
      <c r="L5" s="17"/>
      <c r="M5" s="17"/>
      <c r="N5" s="17">
        <f>B48*B59+C48*C59</f>
        <v>22826.688321079422</v>
      </c>
      <c r="O5" s="17">
        <f>B69*B70*B71</f>
        <v>256.38666666666671</v>
      </c>
      <c r="P5" s="17">
        <f>B77*B78*B79/1000-B77*B78*B79/1000/B80</f>
        <v>514.79999999999995</v>
      </c>
    </row>
    <row r="6" spans="1:16">
      <c r="A6" s="16" t="s">
        <v>631</v>
      </c>
      <c r="B6" s="844">
        <f>kWh_PV_kleiner_dan_10kW</f>
        <v>3701.692095866274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29274.485835866271</v>
      </c>
      <c r="C8" s="21">
        <f>C5</f>
        <v>0</v>
      </c>
      <c r="D8" s="21">
        <f>D5</f>
        <v>59368.418691999992</v>
      </c>
      <c r="E8" s="21">
        <f>E5</f>
        <v>7044.5448395868389</v>
      </c>
      <c r="F8" s="21">
        <f>F5</f>
        <v>10698.324793958645</v>
      </c>
      <c r="G8" s="21"/>
      <c r="H8" s="21"/>
      <c r="I8" s="21"/>
      <c r="J8" s="21">
        <f>J5</f>
        <v>3777.7116309995936</v>
      </c>
      <c r="K8" s="21"/>
      <c r="L8" s="21">
        <f>L5</f>
        <v>0</v>
      </c>
      <c r="M8" s="21">
        <f>M5</f>
        <v>0</v>
      </c>
      <c r="N8" s="21">
        <f>N5</f>
        <v>22826.688321079422</v>
      </c>
      <c r="O8" s="21">
        <f>O5</f>
        <v>256.38666666666671</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0.18888862820743724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5529.6174710148316</v>
      </c>
      <c r="C12" s="23">
        <f ca="1">C10*C8</f>
        <v>0</v>
      </c>
      <c r="D12" s="23">
        <f>D8*D10</f>
        <v>11992.420575783999</v>
      </c>
      <c r="E12" s="23">
        <f>E10*E8</f>
        <v>1599.1116785862125</v>
      </c>
      <c r="F12" s="23">
        <f>F10*F8</f>
        <v>2856.4527199869585</v>
      </c>
      <c r="G12" s="23"/>
      <c r="H12" s="23"/>
      <c r="I12" s="23"/>
      <c r="J12" s="23">
        <f>J10*J8</f>
        <v>1337.309917373856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2561</v>
      </c>
      <c r="C18" s="166" t="s">
        <v>111</v>
      </c>
      <c r="D18" s="228"/>
      <c r="E18" s="15"/>
    </row>
    <row r="19" spans="1:7">
      <c r="A19" s="171" t="s">
        <v>72</v>
      </c>
      <c r="B19" s="37">
        <f>aantalw2001_ander</f>
        <v>4</v>
      </c>
      <c r="C19" s="166" t="s">
        <v>111</v>
      </c>
      <c r="D19" s="229"/>
      <c r="E19" s="15"/>
    </row>
    <row r="20" spans="1:7">
      <c r="A20" s="171" t="s">
        <v>73</v>
      </c>
      <c r="B20" s="37">
        <f>aantalw2001_propaan</f>
        <v>213</v>
      </c>
      <c r="C20" s="167">
        <f>IF(ISERROR(B20/SUM($B$20,$B$21,$B$22)*100),0,B20/SUM($B$20,$B$21,$B$22)*100)</f>
        <v>22.397476340694006</v>
      </c>
      <c r="D20" s="229"/>
      <c r="E20" s="15"/>
    </row>
    <row r="21" spans="1:7">
      <c r="A21" s="171" t="s">
        <v>74</v>
      </c>
      <c r="B21" s="37">
        <f>aantalw2001_elektriciteit</f>
        <v>556</v>
      </c>
      <c r="C21" s="167">
        <f>IF(ISERROR(B21/SUM($B$20,$B$21,$B$22)*100),0,B21/SUM($B$20,$B$21,$B$22)*100)</f>
        <v>58.464773922187177</v>
      </c>
      <c r="D21" s="229"/>
      <c r="E21" s="15"/>
    </row>
    <row r="22" spans="1:7">
      <c r="A22" s="171" t="s">
        <v>75</v>
      </c>
      <c r="B22" s="37">
        <f>aantalw2001_hout</f>
        <v>182</v>
      </c>
      <c r="C22" s="167">
        <f>IF(ISERROR(B22/SUM($B$20,$B$21,$B$22)*100),0,B22/SUM($B$20,$B$21,$B$22)*100)</f>
        <v>19.137749737118824</v>
      </c>
      <c r="D22" s="229"/>
      <c r="E22" s="15"/>
    </row>
    <row r="23" spans="1:7">
      <c r="A23" s="171" t="s">
        <v>76</v>
      </c>
      <c r="B23" s="37">
        <f>aantalw2001_niet_gespec</f>
        <v>108</v>
      </c>
      <c r="C23" s="166" t="s">
        <v>111</v>
      </c>
      <c r="D23" s="228"/>
      <c r="E23" s="15"/>
    </row>
    <row r="24" spans="1:7">
      <c r="A24" s="171" t="s">
        <v>77</v>
      </c>
      <c r="B24" s="37">
        <f>aantalw2001_steenkool</f>
        <v>282</v>
      </c>
      <c r="C24" s="166" t="s">
        <v>111</v>
      </c>
      <c r="D24" s="229"/>
      <c r="E24" s="15"/>
    </row>
    <row r="25" spans="1:7">
      <c r="A25" s="171" t="s">
        <v>78</v>
      </c>
      <c r="B25" s="37">
        <f>aantalw2001_stookolie</f>
        <v>2006</v>
      </c>
      <c r="C25" s="166" t="s">
        <v>111</v>
      </c>
      <c r="D25" s="228"/>
      <c r="E25" s="52"/>
    </row>
    <row r="26" spans="1:7">
      <c r="A26" s="171" t="s">
        <v>79</v>
      </c>
      <c r="B26" s="37">
        <f>aantalw2001_WP</f>
        <v>12</v>
      </c>
      <c r="C26" s="166" t="s">
        <v>111</v>
      </c>
      <c r="D26" s="228"/>
      <c r="E26" s="15"/>
    </row>
    <row r="27" spans="1:7" s="15" customFormat="1">
      <c r="A27" s="171"/>
      <c r="B27" s="29"/>
      <c r="C27" s="36"/>
      <c r="D27" s="228"/>
    </row>
    <row r="28" spans="1:7" s="15" customFormat="1">
      <c r="A28" s="230" t="s">
        <v>740</v>
      </c>
      <c r="B28" s="37">
        <f>aantalHuishoudens2011</f>
        <v>6984</v>
      </c>
      <c r="C28" s="36"/>
      <c r="D28" s="228"/>
    </row>
    <row r="29" spans="1:7" s="15" customFormat="1">
      <c r="A29" s="230" t="s">
        <v>741</v>
      </c>
      <c r="B29" s="37">
        <f>SUM(HH_hh_gas_aantal,HH_rest_gas_aantal)</f>
        <v>4307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4307</v>
      </c>
      <c r="C32" s="167">
        <f>IF(ISERROR(B32/SUM($B$32,$B$34,$B$35,$B$36,$B$38,$B$39)*100),0,B32/SUM($B$32,$B$34,$B$35,$B$36,$B$38,$B$39)*100)</f>
        <v>61.908868765272388</v>
      </c>
      <c r="D32" s="233"/>
      <c r="G32" s="15"/>
    </row>
    <row r="33" spans="1:7">
      <c r="A33" s="171" t="s">
        <v>72</v>
      </c>
      <c r="B33" s="34" t="s">
        <v>111</v>
      </c>
      <c r="C33" s="167"/>
      <c r="D33" s="233"/>
      <c r="G33" s="15"/>
    </row>
    <row r="34" spans="1:7">
      <c r="A34" s="171" t="s">
        <v>73</v>
      </c>
      <c r="B34" s="33">
        <f>IF((($B$28-$B$32-$B$39-$B$77-$B$38)*C20/100)&lt;0,0,($B$28-$B$32-$B$39-$B$77-$B$38)*C20/100)</f>
        <v>472.13880126182966</v>
      </c>
      <c r="C34" s="167">
        <f>IF(ISERROR(B34/SUM($B$32,$B$34,$B$35,$B$36,$B$38,$B$39)*100),0,B34/SUM($B$32,$B$34,$B$35,$B$36,$B$38,$B$39)*100)</f>
        <v>6.7865286942910688</v>
      </c>
      <c r="D34" s="233"/>
      <c r="G34" s="15"/>
    </row>
    <row r="35" spans="1:7">
      <c r="A35" s="171" t="s">
        <v>74</v>
      </c>
      <c r="B35" s="33">
        <f>IF((($B$28-$B$32-$B$39-$B$77-$B$38)*C21/100)&lt;0,0,($B$28-$B$32-$B$39-$B$77-$B$38)*C21/100)</f>
        <v>1232.4374342797057</v>
      </c>
      <c r="C35" s="167">
        <f>IF(ISERROR(B35/SUM($B$32,$B$34,$B$35,$B$36,$B$38,$B$39)*100),0,B35/SUM($B$32,$B$34,$B$35,$B$36,$B$38,$B$39)*100)</f>
        <v>17.715070206694058</v>
      </c>
      <c r="D35" s="233"/>
      <c r="G35" s="15"/>
    </row>
    <row r="36" spans="1:7">
      <c r="A36" s="171" t="s">
        <v>75</v>
      </c>
      <c r="B36" s="33">
        <f>IF((($B$28-$B$32-$B$39-$B$77-$B$38)*C22/100)&lt;0,0,($B$28-$B$32-$B$39-$B$77-$B$38)*C22/100)</f>
        <v>403.4237644584648</v>
      </c>
      <c r="C36" s="167">
        <f>IF(ISERROR(B36/SUM($B$32,$B$34,$B$35,$B$36,$B$38,$B$39)*100),0,B36/SUM($B$32,$B$34,$B$35,$B$36,$B$38,$B$39)*100)</f>
        <v>5.7988179453566877</v>
      </c>
      <c r="D36" s="233"/>
      <c r="G36" s="15"/>
    </row>
    <row r="37" spans="1:7">
      <c r="A37" s="171" t="s">
        <v>76</v>
      </c>
      <c r="B37" s="34" t="s">
        <v>111</v>
      </c>
      <c r="C37" s="167"/>
      <c r="D37" s="173"/>
      <c r="G37" s="15"/>
    </row>
    <row r="38" spans="1:7">
      <c r="A38" s="171" t="s">
        <v>77</v>
      </c>
      <c r="B38" s="33">
        <f>IF((B24-(B29-B18)*0.1)&lt;0,0,B24-(B29-B18)*0.1)</f>
        <v>107.39999999999998</v>
      </c>
      <c r="C38" s="167">
        <f>IF(ISERROR(B38/SUM($B$32,$B$34,$B$35,$B$36,$B$38,$B$39)*100),0,B38/SUM($B$32,$B$34,$B$35,$B$36,$B$38,$B$39)*100)</f>
        <v>1.5437688658904696</v>
      </c>
      <c r="D38" s="234"/>
      <c r="G38" s="15"/>
    </row>
    <row r="39" spans="1:7">
      <c r="A39" s="171" t="s">
        <v>78</v>
      </c>
      <c r="B39" s="33">
        <f>IF((B25-(B29-B18))&lt;0,0,B25-(B29-B18)*0.9)</f>
        <v>434.59999999999991</v>
      </c>
      <c r="C39" s="167">
        <f>IF(ISERROR(B39/SUM($B$32,$B$34,$B$35,$B$36,$B$38,$B$39)*100),0,B39/SUM($B$32,$B$34,$B$35,$B$36,$B$38,$B$39)*100)</f>
        <v>6.2469455224953272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4307</v>
      </c>
      <c r="C44" s="34" t="s">
        <v>111</v>
      </c>
      <c r="D44" s="174"/>
    </row>
    <row r="45" spans="1:7">
      <c r="A45" s="171" t="s">
        <v>72</v>
      </c>
      <c r="B45" s="33" t="str">
        <f t="shared" si="0"/>
        <v>-</v>
      </c>
      <c r="C45" s="34" t="s">
        <v>111</v>
      </c>
      <c r="D45" s="174"/>
    </row>
    <row r="46" spans="1:7">
      <c r="A46" s="171" t="s">
        <v>73</v>
      </c>
      <c r="B46" s="33">
        <f t="shared" si="0"/>
        <v>472.13880126182966</v>
      </c>
      <c r="C46" s="34" t="s">
        <v>111</v>
      </c>
      <c r="D46" s="174"/>
    </row>
    <row r="47" spans="1:7">
      <c r="A47" s="171" t="s">
        <v>74</v>
      </c>
      <c r="B47" s="33">
        <f t="shared" si="0"/>
        <v>1232.4374342797057</v>
      </c>
      <c r="C47" s="34" t="s">
        <v>111</v>
      </c>
      <c r="D47" s="174"/>
    </row>
    <row r="48" spans="1:7">
      <c r="A48" s="171" t="s">
        <v>75</v>
      </c>
      <c r="B48" s="33">
        <f t="shared" si="0"/>
        <v>403.4237644584648</v>
      </c>
      <c r="C48" s="33">
        <f>B48*10</f>
        <v>4034.237644584648</v>
      </c>
      <c r="D48" s="234"/>
    </row>
    <row r="49" spans="1:6">
      <c r="A49" s="171" t="s">
        <v>76</v>
      </c>
      <c r="B49" s="33" t="str">
        <f t="shared" si="0"/>
        <v>-</v>
      </c>
      <c r="C49" s="34" t="s">
        <v>111</v>
      </c>
      <c r="D49" s="234"/>
    </row>
    <row r="50" spans="1:6">
      <c r="A50" s="171" t="s">
        <v>77</v>
      </c>
      <c r="B50" s="33">
        <f t="shared" si="0"/>
        <v>107.39999999999998</v>
      </c>
      <c r="C50" s="33">
        <f>B50*2</f>
        <v>214.79999999999995</v>
      </c>
      <c r="D50" s="234"/>
    </row>
    <row r="51" spans="1:6">
      <c r="A51" s="171" t="s">
        <v>78</v>
      </c>
      <c r="B51" s="33">
        <f t="shared" si="0"/>
        <v>434.59999999999991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29180.567971960856</v>
      </c>
      <c r="C5" s="17">
        <f>IF(ISERROR('Eigen informatie GS &amp; warmtenet'!B58),0,'Eigen informatie GS &amp; warmtenet'!B58)</f>
        <v>0</v>
      </c>
      <c r="D5" s="30">
        <f>SUM(D6:D12)</f>
        <v>18704.029849999999</v>
      </c>
      <c r="E5" s="17">
        <f>SUM(E6:E12)</f>
        <v>263.27092774032155</v>
      </c>
      <c r="F5" s="17">
        <f>SUM(F6:F12)</f>
        <v>4956.8055252030945</v>
      </c>
      <c r="G5" s="18"/>
      <c r="H5" s="17"/>
      <c r="I5" s="17"/>
      <c r="J5" s="17">
        <f>SUM(J6:J12)</f>
        <v>0</v>
      </c>
      <c r="K5" s="17"/>
      <c r="L5" s="17"/>
      <c r="M5" s="17"/>
      <c r="N5" s="17">
        <f>SUM(N6:N12)</f>
        <v>7024.8163180948732</v>
      </c>
      <c r="O5" s="17">
        <f>B38*B39*B40</f>
        <v>3.1266666666666669</v>
      </c>
      <c r="P5" s="17">
        <f>B46*B47*B48/1000-B46*B47*B48/1000/B49</f>
        <v>19.066666666666666</v>
      </c>
      <c r="R5" s="32"/>
    </row>
    <row r="6" spans="1:18">
      <c r="A6" s="32" t="s">
        <v>54</v>
      </c>
      <c r="B6" s="37">
        <f>B26</f>
        <v>4659.2821367490633</v>
      </c>
      <c r="C6" s="33"/>
      <c r="D6" s="37">
        <f>IF(ISERROR(TER_kantoor_gas_kWh/1000),0,TER_kantoor_gas_kWh/1000)*0.902</f>
        <v>4379.000736</v>
      </c>
      <c r="E6" s="33">
        <f>$C$26*'E Balans VL '!I12/100/3.6*1000000</f>
        <v>13.498623963782851</v>
      </c>
      <c r="F6" s="33">
        <f>$C$26*('E Balans VL '!L12+'E Balans VL '!N12)/100/3.6*1000000</f>
        <v>527.32808593567552</v>
      </c>
      <c r="G6" s="34"/>
      <c r="H6" s="33"/>
      <c r="I6" s="33"/>
      <c r="J6" s="33">
        <f>$C$26*('E Balans VL '!D12+'E Balans VL '!E12)/100/3.6*1000000</f>
        <v>0</v>
      </c>
      <c r="K6" s="33"/>
      <c r="L6" s="33"/>
      <c r="M6" s="33"/>
      <c r="N6" s="33">
        <f>$C$26*'E Balans VL '!Y12/100/3.6*1000000</f>
        <v>46.63598107649554</v>
      </c>
      <c r="O6" s="33"/>
      <c r="P6" s="33"/>
      <c r="R6" s="32"/>
    </row>
    <row r="7" spans="1:18">
      <c r="A7" s="32" t="s">
        <v>53</v>
      </c>
      <c r="B7" s="37">
        <f t="shared" ref="B7:B12" si="0">B27</f>
        <v>2585.4580000000001</v>
      </c>
      <c r="C7" s="33"/>
      <c r="D7" s="37">
        <f>IF(ISERROR(TER_horeca_gas_kWh/1000),0,TER_horeca_gas_kWh/1000)*0.902</f>
        <v>3125.1449680000001</v>
      </c>
      <c r="E7" s="33">
        <f>$C$27*'E Balans VL '!I9/100/3.6*1000000</f>
        <v>108.53030321311458</v>
      </c>
      <c r="F7" s="33">
        <f>$C$27*('E Balans VL '!L9+'E Balans VL '!N9)/100/3.6*1000000</f>
        <v>555.53867110985198</v>
      </c>
      <c r="G7" s="34"/>
      <c r="H7" s="33"/>
      <c r="I7" s="33"/>
      <c r="J7" s="33">
        <f>$C$27*('E Balans VL '!D9+'E Balans VL '!E9)/100/3.6*1000000</f>
        <v>0</v>
      </c>
      <c r="K7" s="33"/>
      <c r="L7" s="33"/>
      <c r="M7" s="33"/>
      <c r="N7" s="33">
        <f>$C$27*'E Balans VL '!Y9/100/3.6*1000000</f>
        <v>0.66624991594953653</v>
      </c>
      <c r="O7" s="33"/>
      <c r="P7" s="33"/>
      <c r="R7" s="32"/>
    </row>
    <row r="8" spans="1:18">
      <c r="A8" s="6" t="s">
        <v>52</v>
      </c>
      <c r="B8" s="37">
        <f t="shared" si="0"/>
        <v>9870.6718352117914</v>
      </c>
      <c r="C8" s="33"/>
      <c r="D8" s="37">
        <f>IF(ISERROR(TER_handel_gas_kWh/1000),0,TER_handel_gas_kWh/1000)*0.902</f>
        <v>4976.8959459999996</v>
      </c>
      <c r="E8" s="33">
        <f>$C$28*'E Balans VL '!I13/100/3.6*1000000</f>
        <v>106.01923063681502</v>
      </c>
      <c r="F8" s="33">
        <f>$C$28*('E Balans VL '!L13+'E Balans VL '!N13)/100/3.6*1000000</f>
        <v>1277.8399793958629</v>
      </c>
      <c r="G8" s="34"/>
      <c r="H8" s="33"/>
      <c r="I8" s="33"/>
      <c r="J8" s="33">
        <f>$C$28*('E Balans VL '!D13+'E Balans VL '!E13)/100/3.6*1000000</f>
        <v>0</v>
      </c>
      <c r="K8" s="33"/>
      <c r="L8" s="33"/>
      <c r="M8" s="33"/>
      <c r="N8" s="33">
        <f>$C$28*'E Balans VL '!Y13/100/3.6*1000000</f>
        <v>80.071428889354053</v>
      </c>
      <c r="O8" s="33"/>
      <c r="P8" s="33"/>
      <c r="R8" s="32"/>
    </row>
    <row r="9" spans="1:18">
      <c r="A9" s="32" t="s">
        <v>51</v>
      </c>
      <c r="B9" s="37">
        <f t="shared" si="0"/>
        <v>1331.7940000000001</v>
      </c>
      <c r="C9" s="33"/>
      <c r="D9" s="37">
        <f>IF(ISERROR(TER_gezond_gas_kWh/1000),0,TER_gezond_gas_kWh/1000)*0.902</f>
        <v>1614.6891420000002</v>
      </c>
      <c r="E9" s="33">
        <f>$C$29*'E Balans VL '!I10/100/3.6*1000000</f>
        <v>1.0601941621282114</v>
      </c>
      <c r="F9" s="33">
        <f>$C$29*('E Balans VL '!L10+'E Balans VL '!N10)/100/3.6*1000000</f>
        <v>161.89880685680913</v>
      </c>
      <c r="G9" s="34"/>
      <c r="H9" s="33"/>
      <c r="I9" s="33"/>
      <c r="J9" s="33">
        <f>$C$29*('E Balans VL '!D10+'E Balans VL '!E10)/100/3.6*1000000</f>
        <v>0</v>
      </c>
      <c r="K9" s="33"/>
      <c r="L9" s="33"/>
      <c r="M9" s="33"/>
      <c r="N9" s="33">
        <f>$C$29*'E Balans VL '!Y10/100/3.6*1000000</f>
        <v>10.757879096362311</v>
      </c>
      <c r="O9" s="33"/>
      <c r="P9" s="33"/>
      <c r="R9" s="32"/>
    </row>
    <row r="10" spans="1:18">
      <c r="A10" s="32" t="s">
        <v>50</v>
      </c>
      <c r="B10" s="37">
        <f t="shared" si="0"/>
        <v>9775.2379999999994</v>
      </c>
      <c r="C10" s="33"/>
      <c r="D10" s="37">
        <f>IF(ISERROR(TER_ander_gas_kWh/1000),0,TER_ander_gas_kWh/1000)*0.902</f>
        <v>1508.09439</v>
      </c>
      <c r="E10" s="33">
        <f>$C$30*'E Balans VL '!I14/100/3.6*1000000</f>
        <v>33.500254151177813</v>
      </c>
      <c r="F10" s="33">
        <f>$C$30*('E Balans VL '!L14+'E Balans VL '!N14)/100/3.6*1000000</f>
        <v>2183.3909503186751</v>
      </c>
      <c r="G10" s="34"/>
      <c r="H10" s="33"/>
      <c r="I10" s="33"/>
      <c r="J10" s="33">
        <f>$C$30*('E Balans VL '!D14+'E Balans VL '!E14)/100/3.6*1000000</f>
        <v>0</v>
      </c>
      <c r="K10" s="33"/>
      <c r="L10" s="33"/>
      <c r="M10" s="33"/>
      <c r="N10" s="33">
        <f>$C$30*'E Balans VL '!Y14/100/3.6*1000000</f>
        <v>6885.7310482813482</v>
      </c>
      <c r="O10" s="33"/>
      <c r="P10" s="33"/>
      <c r="R10" s="32"/>
    </row>
    <row r="11" spans="1:18">
      <c r="A11" s="32" t="s">
        <v>55</v>
      </c>
      <c r="B11" s="37">
        <f t="shared" si="0"/>
        <v>958.12400000000002</v>
      </c>
      <c r="C11" s="33"/>
      <c r="D11" s="37">
        <f>IF(ISERROR(TER_onderwijs_gas_kWh/1000),0,TER_onderwijs_gas_kWh/1000)*0.902</f>
        <v>3100.2046680000003</v>
      </c>
      <c r="E11" s="33">
        <f>$C$31*'E Balans VL '!I11/100/3.6*1000000</f>
        <v>0.66232161330310824</v>
      </c>
      <c r="F11" s="33">
        <f>$C$31*('E Balans VL '!L11+'E Balans VL '!N11)/100/3.6*1000000</f>
        <v>250.80903158622036</v>
      </c>
      <c r="G11" s="34"/>
      <c r="H11" s="33"/>
      <c r="I11" s="33"/>
      <c r="J11" s="33">
        <f>$C$31*('E Balans VL '!D11+'E Balans VL '!E11)/100/3.6*1000000</f>
        <v>0</v>
      </c>
      <c r="K11" s="33"/>
      <c r="L11" s="33"/>
      <c r="M11" s="33"/>
      <c r="N11" s="33">
        <f>$C$31*'E Balans VL '!Y11/100/3.6*1000000</f>
        <v>0.95373083536367176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29180.567971960856</v>
      </c>
      <c r="C16" s="21">
        <f t="shared" ca="1" si="1"/>
        <v>0</v>
      </c>
      <c r="D16" s="21">
        <f t="shared" ca="1" si="1"/>
        <v>18704.029849999999</v>
      </c>
      <c r="E16" s="21">
        <f t="shared" si="1"/>
        <v>263.27092774032155</v>
      </c>
      <c r="F16" s="21">
        <f t="shared" ca="1" si="1"/>
        <v>4956.8055252030945</v>
      </c>
      <c r="G16" s="21">
        <f t="shared" si="1"/>
        <v>0</v>
      </c>
      <c r="H16" s="21">
        <f t="shared" si="1"/>
        <v>0</v>
      </c>
      <c r="I16" s="21">
        <f t="shared" si="1"/>
        <v>0</v>
      </c>
      <c r="J16" s="21">
        <f t="shared" si="1"/>
        <v>0</v>
      </c>
      <c r="K16" s="21">
        <f t="shared" si="1"/>
        <v>0</v>
      </c>
      <c r="L16" s="21">
        <f t="shared" ca="1" si="1"/>
        <v>0</v>
      </c>
      <c r="M16" s="21">
        <f t="shared" si="1"/>
        <v>0</v>
      </c>
      <c r="N16" s="21">
        <f t="shared" ca="1" si="1"/>
        <v>7024.8163180948732</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0.18888862820743724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5511.8774545375645</v>
      </c>
      <c r="C20" s="23">
        <f t="shared" ref="C20:P20" ca="1" si="2">C16*C18</f>
        <v>0</v>
      </c>
      <c r="D20" s="23">
        <f t="shared" ca="1" si="2"/>
        <v>3778.2140297000001</v>
      </c>
      <c r="E20" s="23">
        <f t="shared" si="2"/>
        <v>59.762500597052991</v>
      </c>
      <c r="F20" s="23">
        <f t="shared" ca="1" si="2"/>
        <v>1323.4670752292263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4659.2821367490633</v>
      </c>
      <c r="C26" s="39">
        <f>IF(ISERROR(B26*3.6/1000000/'E Balans VL '!Z12*100),0,B26*3.6/1000000/'E Balans VL '!Z12*100)</f>
        <v>0.10234651880324951</v>
      </c>
      <c r="D26" s="237" t="s">
        <v>692</v>
      </c>
      <c r="F26" s="6"/>
    </row>
    <row r="27" spans="1:18">
      <c r="A27" s="231" t="s">
        <v>53</v>
      </c>
      <c r="B27" s="33">
        <f>IF(ISERROR(TER_horeca_ele_kWh/1000),0,TER_horeca_ele_kWh/1000)</f>
        <v>2585.4580000000001</v>
      </c>
      <c r="C27" s="39">
        <f>IF(ISERROR(B27*3.6/1000000/'E Balans VL '!Z9*100),0,B27*3.6/1000000/'E Balans VL '!Z9*100)</f>
        <v>0.20776732244974094</v>
      </c>
      <c r="D27" s="237" t="s">
        <v>692</v>
      </c>
      <c r="F27" s="6"/>
    </row>
    <row r="28" spans="1:18">
      <c r="A28" s="171" t="s">
        <v>52</v>
      </c>
      <c r="B28" s="33">
        <f>IF(ISERROR(TER_handel_ele_kWh/1000),0,TER_handel_ele_kWh/1000)</f>
        <v>9870.6718352117914</v>
      </c>
      <c r="C28" s="39">
        <f>IF(ISERROR(B28*3.6/1000000/'E Balans VL '!Z13*100),0,B28*3.6/1000000/'E Balans VL '!Z13*100)</f>
        <v>0.29186887037108045</v>
      </c>
      <c r="D28" s="237" t="s">
        <v>692</v>
      </c>
      <c r="F28" s="6"/>
    </row>
    <row r="29" spans="1:18">
      <c r="A29" s="231" t="s">
        <v>51</v>
      </c>
      <c r="B29" s="33">
        <f>IF(ISERROR(TER_gezond_ele_kWh/1000),0,TER_gezond_ele_kWh/1000)</f>
        <v>1331.7940000000001</v>
      </c>
      <c r="C29" s="39">
        <f>IF(ISERROR(B29*3.6/1000000/'E Balans VL '!Z10*100),0,B29*3.6/1000000/'E Balans VL '!Z10*100)</f>
        <v>0.15005879990986759</v>
      </c>
      <c r="D29" s="237" t="s">
        <v>692</v>
      </c>
      <c r="F29" s="6"/>
    </row>
    <row r="30" spans="1:18">
      <c r="A30" s="231" t="s">
        <v>50</v>
      </c>
      <c r="B30" s="33">
        <f>IF(ISERROR(TER_ander_ele_kWh/1000),0,TER_ander_ele_kWh/1000)</f>
        <v>9775.2379999999994</v>
      </c>
      <c r="C30" s="39">
        <f>IF(ISERROR(B30*3.6/1000000/'E Balans VL '!Z14*100),0,B30*3.6/1000000/'E Balans VL '!Z14*100)</f>
        <v>0.73928453992543153</v>
      </c>
      <c r="D30" s="237" t="s">
        <v>692</v>
      </c>
      <c r="F30" s="6"/>
    </row>
    <row r="31" spans="1:18">
      <c r="A31" s="231" t="s">
        <v>55</v>
      </c>
      <c r="B31" s="33">
        <f>IF(ISERROR(TER_onderwijs_ele_kWh/1000),0,TER_onderwijs_ele_kWh/1000)</f>
        <v>958.12400000000002</v>
      </c>
      <c r="C31" s="39">
        <f>IF(ISERROR(B31*3.6/1000000/'E Balans VL '!Z11*100),0,B31*3.6/1000000/'E Balans VL '!Z11*100)</f>
        <v>0.19888430050619393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18907.457999999999</v>
      </c>
      <c r="C5" s="17">
        <f>IF(ISERROR('Eigen informatie GS &amp; warmtenet'!B59),0,'Eigen informatie GS &amp; warmtenet'!B59)</f>
        <v>0</v>
      </c>
      <c r="D5" s="30">
        <f>SUM(D6:D15)</f>
        <v>11136.847875999998</v>
      </c>
      <c r="E5" s="17">
        <f>SUM(E6:E15)</f>
        <v>2963.8214864280121</v>
      </c>
      <c r="F5" s="17">
        <f>SUM(F6:F15)</f>
        <v>18943.30596280055</v>
      </c>
      <c r="G5" s="18"/>
      <c r="H5" s="17"/>
      <c r="I5" s="17"/>
      <c r="J5" s="17">
        <f>SUM(J6:J15)</f>
        <v>126.46700191062672</v>
      </c>
      <c r="K5" s="17"/>
      <c r="L5" s="17"/>
      <c r="M5" s="17"/>
      <c r="N5" s="17">
        <f>SUM(N6:N15)</f>
        <v>6318.352947842006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2693.7109999999998</v>
      </c>
      <c r="C8" s="33"/>
      <c r="D8" s="37">
        <f>IF( ISERROR(IND_metaal_Gas_kWH/1000),0,IND_metaal_Gas_kWH/1000)*0.902</f>
        <v>1529.147972</v>
      </c>
      <c r="E8" s="33">
        <f>C30*'E Balans VL '!I18/100/3.6*1000000</f>
        <v>67.414158543477157</v>
      </c>
      <c r="F8" s="33">
        <f>C30*'E Balans VL '!L18/100/3.6*1000000+C30*'E Balans VL '!N18/100/3.6*1000000</f>
        <v>844.22242660760787</v>
      </c>
      <c r="G8" s="34"/>
      <c r="H8" s="33"/>
      <c r="I8" s="33"/>
      <c r="J8" s="40">
        <f>C30*'E Balans VL '!D18/100/3.6*1000000+C30*'E Balans VL '!E18/100/3.6*1000000</f>
        <v>0</v>
      </c>
      <c r="K8" s="33"/>
      <c r="L8" s="33"/>
      <c r="M8" s="33"/>
      <c r="N8" s="33">
        <f>C30*'E Balans VL '!Y18/100/3.6*1000000</f>
        <v>67.673011109646566</v>
      </c>
      <c r="O8" s="33"/>
      <c r="P8" s="33"/>
      <c r="R8" s="32"/>
    </row>
    <row r="9" spans="1:18">
      <c r="A9" s="6" t="s">
        <v>33</v>
      </c>
      <c r="B9" s="37">
        <f t="shared" si="0"/>
        <v>10327.142</v>
      </c>
      <c r="C9" s="33"/>
      <c r="D9" s="37">
        <f>IF( ISERROR(IND_andere_gas_kWh/1000),0,IND_andere_gas_kWh/1000)*0.902</f>
        <v>8284.9547879999991</v>
      </c>
      <c r="E9" s="33">
        <f>C31*'E Balans VL '!I19/100/3.6*1000000</f>
        <v>2839.5404816967402</v>
      </c>
      <c r="F9" s="33">
        <f>C31*'E Balans VL '!L19/100/3.6*1000000+C31*'E Balans VL '!N19/100/3.6*1000000</f>
        <v>8139.5849477326474</v>
      </c>
      <c r="G9" s="34"/>
      <c r="H9" s="33"/>
      <c r="I9" s="33"/>
      <c r="J9" s="40">
        <f>C31*'E Balans VL '!D19/100/3.6*1000000+C31*'E Balans VL '!E19/100/3.6*1000000</f>
        <v>0</v>
      </c>
      <c r="K9" s="33"/>
      <c r="L9" s="33"/>
      <c r="M9" s="33"/>
      <c r="N9" s="33">
        <f>C31*'E Balans VL '!Y19/100/3.6*1000000</f>
        <v>3343.1684563336657</v>
      </c>
      <c r="O9" s="33"/>
      <c r="P9" s="33"/>
      <c r="R9" s="32"/>
    </row>
    <row r="10" spans="1:18">
      <c r="A10" s="6" t="s">
        <v>41</v>
      </c>
      <c r="B10" s="37">
        <f t="shared" si="0"/>
        <v>5260.3</v>
      </c>
      <c r="C10" s="33"/>
      <c r="D10" s="37">
        <f>IF( ISERROR(IND_voed_gas_kWh/1000),0,IND_voed_gas_kWh/1000)*0.902</f>
        <v>969.13946799999997</v>
      </c>
      <c r="E10" s="33">
        <f>C32*'E Balans VL '!I20/100/3.6*1000000</f>
        <v>53.62586058419442</v>
      </c>
      <c r="F10" s="33">
        <f>C32*'E Balans VL '!L20/100/3.6*1000000+C32*'E Balans VL '!N20/100/3.6*1000000</f>
        <v>9936.6737999993693</v>
      </c>
      <c r="G10" s="34"/>
      <c r="H10" s="33"/>
      <c r="I10" s="33"/>
      <c r="J10" s="40">
        <f>C32*'E Balans VL '!D20/100/3.6*1000000+C32*'E Balans VL '!E20/100/3.6*1000000</f>
        <v>125.89619077952457</v>
      </c>
      <c r="K10" s="33"/>
      <c r="L10" s="33"/>
      <c r="M10" s="33"/>
      <c r="N10" s="33">
        <f>C32*'E Balans VL '!Y20/100/3.6*1000000</f>
        <v>2772.7840122608777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288.26400000000001</v>
      </c>
      <c r="C12" s="33"/>
      <c r="D12" s="37">
        <f>IF( ISERROR(IND_min_gas_kWh/1000),0,IND_min_gas_kWh/1000)*0.902</f>
        <v>0</v>
      </c>
      <c r="E12" s="33">
        <f>C34*'E Balans VL '!I22/100/3.6*1000000</f>
        <v>0.87302125893415916</v>
      </c>
      <c r="F12" s="33">
        <f>C34*'E Balans VL '!L22/100/3.6*1000000+C34*'E Balans VL '!N22/100/3.6*1000000</f>
        <v>9.0084978309685741</v>
      </c>
      <c r="G12" s="34"/>
      <c r="H12" s="33"/>
      <c r="I12" s="33"/>
      <c r="J12" s="40">
        <f>C34*'E Balans VL '!D22/100/3.6*1000000+C34*'E Balans VL '!E22/100/3.6*1000000</f>
        <v>0.42743152068941043</v>
      </c>
      <c r="K12" s="33"/>
      <c r="L12" s="33"/>
      <c r="M12" s="33"/>
      <c r="N12" s="33">
        <f>C34*'E Balans VL '!Y22/100/3.6*1000000</f>
        <v>0</v>
      </c>
      <c r="O12" s="33"/>
      <c r="P12" s="33"/>
      <c r="R12" s="32"/>
    </row>
    <row r="13" spans="1:18">
      <c r="A13" s="6" t="s">
        <v>39</v>
      </c>
      <c r="B13" s="37">
        <f t="shared" si="0"/>
        <v>303.86500000000001</v>
      </c>
      <c r="C13" s="33"/>
      <c r="D13" s="37">
        <f>IF( ISERROR(IND_papier_gas_kWh/1000),0,IND_papier_gas_kWh/1000)*0.902</f>
        <v>103.48195</v>
      </c>
      <c r="E13" s="33">
        <f>C35*'E Balans VL '!I23/100/3.6*1000000</f>
        <v>0.6293249253936184</v>
      </c>
      <c r="F13" s="33">
        <f>C35*'E Balans VL '!L23/100/3.6*1000000+C35*'E Balans VL '!N23/100/3.6*1000000</f>
        <v>6.026294384783454</v>
      </c>
      <c r="G13" s="34"/>
      <c r="H13" s="33"/>
      <c r="I13" s="33"/>
      <c r="J13" s="40">
        <f>C35*'E Balans VL '!D23/100/3.6*1000000+C35*'E Balans VL '!E23/100/3.6*1000000</f>
        <v>0</v>
      </c>
      <c r="K13" s="33"/>
      <c r="L13" s="33"/>
      <c r="M13" s="33"/>
      <c r="N13" s="33">
        <f>C35*'E Balans VL '!Y23/100/3.6*1000000</f>
        <v>128.306348646912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34.176000000000002</v>
      </c>
      <c r="C15" s="33"/>
      <c r="D15" s="37">
        <f>IF( ISERROR(IND_rest_gas_kWh/1000),0,IND_rest_gas_kWh/1000)*0.902</f>
        <v>250.12369799999999</v>
      </c>
      <c r="E15" s="33">
        <f>C37*'E Balans VL '!I15/100/3.6*1000000</f>
        <v>1.7386394192728822</v>
      </c>
      <c r="F15" s="33">
        <f>C37*'E Balans VL '!L15/100/3.6*1000000+C37*'E Balans VL '!N15/100/3.6*1000000</f>
        <v>7.7899962451746916</v>
      </c>
      <c r="G15" s="34"/>
      <c r="H15" s="33"/>
      <c r="I15" s="33"/>
      <c r="J15" s="40">
        <f>C37*'E Balans VL '!D15/100/3.6*1000000+C37*'E Balans VL '!E15/100/3.6*1000000</f>
        <v>0.14337961041273195</v>
      </c>
      <c r="K15" s="33"/>
      <c r="L15" s="33"/>
      <c r="M15" s="33"/>
      <c r="N15" s="33">
        <f>C37*'E Balans VL '!Y15/100/3.6*1000000</f>
        <v>6.4211194909037683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18907.457999999999</v>
      </c>
      <c r="C18" s="21">
        <f>C5+C16</f>
        <v>0</v>
      </c>
      <c r="D18" s="21">
        <f>MAX((D5+D16),0)</f>
        <v>11136.847875999998</v>
      </c>
      <c r="E18" s="21">
        <f>MAX((E5+E16),0)</f>
        <v>2963.8214864280121</v>
      </c>
      <c r="F18" s="21">
        <f>MAX((F5+F16),0)</f>
        <v>18943.30596280055</v>
      </c>
      <c r="G18" s="21"/>
      <c r="H18" s="21"/>
      <c r="I18" s="21"/>
      <c r="J18" s="21">
        <f>MAX((J5+J16),0)</f>
        <v>126.46700191062672</v>
      </c>
      <c r="K18" s="21"/>
      <c r="L18" s="21">
        <f>MAX((L5+L16),0)</f>
        <v>0</v>
      </c>
      <c r="M18" s="21"/>
      <c r="N18" s="21">
        <f>MAX((N5+N16),0)</f>
        <v>6318.352947842006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0.18888862820743724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3571.4038045097345</v>
      </c>
      <c r="C22" s="23">
        <f ca="1">C18*C20</f>
        <v>0</v>
      </c>
      <c r="D22" s="23">
        <f>D18*D20</f>
        <v>2249.6432709519995</v>
      </c>
      <c r="E22" s="23">
        <f>E18*E20</f>
        <v>672.78747741915879</v>
      </c>
      <c r="F22" s="23">
        <f>F18*F20</f>
        <v>5057.862692067747</v>
      </c>
      <c r="G22" s="23"/>
      <c r="H22" s="23"/>
      <c r="I22" s="23"/>
      <c r="J22" s="23">
        <f>J18*J20</f>
        <v>44.769318676361856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2693.7109999999998</v>
      </c>
      <c r="C30" s="39">
        <f>IF(ISERROR(B30*3.6/1000000/'E Balans VL '!Z18*100),0,B30*3.6/1000000/'E Balans VL '!Z18*100)</f>
        <v>0.37702977108922048</v>
      </c>
      <c r="D30" s="237" t="s">
        <v>692</v>
      </c>
    </row>
    <row r="31" spans="1:18">
      <c r="A31" s="6" t="s">
        <v>33</v>
      </c>
      <c r="B31" s="37">
        <f>IF( ISERROR(IND_ander_ele_kWh/1000),0,IND_ander_ele_kWh/1000)</f>
        <v>10327.142</v>
      </c>
      <c r="C31" s="39">
        <f>IF(ISERROR(B31*3.6/1000000/'E Balans VL '!Z19*100),0,B31*3.6/1000000/'E Balans VL '!Z19*100)</f>
        <v>0.45201733003955036</v>
      </c>
      <c r="D31" s="237" t="s">
        <v>692</v>
      </c>
    </row>
    <row r="32" spans="1:18">
      <c r="A32" s="171" t="s">
        <v>41</v>
      </c>
      <c r="B32" s="37">
        <f>IF( ISERROR(IND_voed_ele_kWh/1000),0,IND_voed_ele_kWh/1000)</f>
        <v>5260.3</v>
      </c>
      <c r="C32" s="39">
        <f>IF(ISERROR(B32*3.6/1000000/'E Balans VL '!Z20*100),0,B32*3.6/1000000/'E Balans VL '!Z20*100)</f>
        <v>1.3022755940534683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288.26400000000001</v>
      </c>
      <c r="C34" s="39">
        <f>IF(ISERROR(B34*3.6/1000000/'E Balans VL '!Z22*100),0,B34*3.6/1000000/'E Balans VL '!Z22*100)</f>
        <v>8.1797562660863785E-3</v>
      </c>
      <c r="D34" s="237" t="s">
        <v>692</v>
      </c>
    </row>
    <row r="35" spans="1:5">
      <c r="A35" s="171" t="s">
        <v>39</v>
      </c>
      <c r="B35" s="37">
        <f>IF( ISERROR(IND_papier_ele_kWh/1000),0,IND_papier_ele_kWh/1000)</f>
        <v>303.86500000000001</v>
      </c>
      <c r="C35" s="39">
        <f>IF(ISERROR(B35*3.6/1000000/'E Balans VL '!Z22*100),0,B35*3.6/1000000/'E Balans VL '!Z22*100)</f>
        <v>8.6224489974271387E-3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34.176000000000002</v>
      </c>
      <c r="C37" s="39">
        <f>IF(ISERROR(B37*3.6/1000000/'E Balans VL '!Z15*100),0,B37*3.6/1000000/'E Balans VL '!Z15*100)</f>
        <v>2.5340918882119892E-4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9523.4451253405987</v>
      </c>
      <c r="C5" s="17">
        <f>'Eigen informatie GS &amp; warmtenet'!B60</f>
        <v>0</v>
      </c>
      <c r="D5" s="30">
        <f>IF(ISERROR(SUM(LB_lb_gas_kWh,LB_rest_gas_kWh,onbekend_gas_kWh)/1000),0,SUM(LB_lb_gas_kWh,LB_rest_gas_kWh,onbekend_gas_kWh)/1000)*0.902</f>
        <v>904.50485400000002</v>
      </c>
      <c r="E5" s="17">
        <f>B17*'E Balans VL '!I25/3.6*1000000/100</f>
        <v>88.210137536379946</v>
      </c>
      <c r="F5" s="17">
        <f>B17*('E Balans VL '!L25/3.6*1000000+'E Balans VL '!N25/3.6*1000000)/100</f>
        <v>24162.794497423693</v>
      </c>
      <c r="G5" s="18"/>
      <c r="H5" s="17"/>
      <c r="I5" s="17"/>
      <c r="J5" s="17">
        <f>('E Balans VL '!D25+'E Balans VL '!E25)/3.6*1000000*landbouw!B17/100</f>
        <v>1460.0504196725067</v>
      </c>
      <c r="K5" s="17"/>
      <c r="L5" s="17">
        <f>L6*(-1)</f>
        <v>0</v>
      </c>
      <c r="M5" s="17"/>
      <c r="N5" s="17">
        <f>N6*(-1)</f>
        <v>5344.7142857142853</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-5344.7142857142853</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9523.4451253405987</v>
      </c>
      <c r="C8" s="21">
        <f>C5+C6</f>
        <v>62.357142857142847</v>
      </c>
      <c r="D8" s="21">
        <f>MAX((D5+D6),0)</f>
        <v>904.50485400000002</v>
      </c>
      <c r="E8" s="21">
        <f>MAX((E5+E6),0)</f>
        <v>88.210137536379946</v>
      </c>
      <c r="F8" s="21">
        <f>MAX((F5+F6),0)</f>
        <v>24162.794497423693</v>
      </c>
      <c r="G8" s="21"/>
      <c r="H8" s="21"/>
      <c r="I8" s="21"/>
      <c r="J8" s="21">
        <f>MAX((J5+J6),0)</f>
        <v>1460.0504196725067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0.18888862820743724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1798.8704855343908</v>
      </c>
      <c r="C12" s="23">
        <f ca="1">C8*C10</f>
        <v>0</v>
      </c>
      <c r="D12" s="23">
        <f>D8*D10</f>
        <v>182.70998050800003</v>
      </c>
      <c r="E12" s="23">
        <f>E8*E10</f>
        <v>20.023701220758248</v>
      </c>
      <c r="F12" s="23">
        <f>F8*F10</f>
        <v>6451.4661308121267</v>
      </c>
      <c r="G12" s="23"/>
      <c r="H12" s="23"/>
      <c r="I12" s="23"/>
      <c r="J12" s="23">
        <f>J8*J10</f>
        <v>516.85784856406735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1.3540319648830279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2247.7158473901563</v>
      </c>
      <c r="C26" s="247">
        <f>B26*'GWP N2O_CH4'!B5</f>
        <v>47202.032795193285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1158.6225263933909</v>
      </c>
      <c r="C27" s="247">
        <f>B27*'GWP N2O_CH4'!B5</f>
        <v>24331.073054261207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30.145546771432326</v>
      </c>
      <c r="C28" s="247">
        <f>B28*'GWP N2O_CH4'!B4</f>
        <v>9345.1194991440207</v>
      </c>
      <c r="D28" s="50"/>
    </row>
    <row r="29" spans="1:4">
      <c r="A29" s="41" t="s">
        <v>277</v>
      </c>
      <c r="B29" s="247">
        <f>B34*'ha_N2O bodem landbouw'!B4</f>
        <v>81.337324682430676</v>
      </c>
      <c r="C29" s="247">
        <f>B29*'GWP N2O_CH4'!B4</f>
        <v>25214.570651553509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1.8242528981375902E-2</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7.3494291350327773E-5</v>
      </c>
      <c r="C5" s="464" t="s">
        <v>211</v>
      </c>
      <c r="D5" s="449">
        <f>SUM(D6:D11)</f>
        <v>1.8939677856674313E-4</v>
      </c>
      <c r="E5" s="449">
        <f>SUM(E6:E11)</f>
        <v>1.2108313112241718E-3</v>
      </c>
      <c r="F5" s="462" t="s">
        <v>211</v>
      </c>
      <c r="G5" s="449">
        <f>SUM(G6:G11)</f>
        <v>0.37123521659920988</v>
      </c>
      <c r="H5" s="449">
        <f>SUM(H6:H11)</f>
        <v>7.1695620496444692E-2</v>
      </c>
      <c r="I5" s="464" t="s">
        <v>211</v>
      </c>
      <c r="J5" s="464" t="s">
        <v>211</v>
      </c>
      <c r="K5" s="464" t="s">
        <v>211</v>
      </c>
      <c r="L5" s="464" t="s">
        <v>211</v>
      </c>
      <c r="M5" s="449">
        <f>SUM(M6:M11)</f>
        <v>2.3681327445152812E-2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6.2585833206480358E-5</v>
      </c>
      <c r="C6" s="450"/>
      <c r="D6" s="963">
        <f>vkm_2011_GW_PW*SUMIFS(TableVerdeelsleutelVkm[CNG],TableVerdeelsleutelVkm[Voertuigtype],"Lichte voertuigen")*SUMIFS(TableECFTransport[EnergieConsumptieFactor (PJ per km)],TableECFTransport[Index],CONCATENATE($A6,"_CNG_CNG"))</f>
        <v>1.4476792262139179E-4</v>
      </c>
      <c r="E6" s="963">
        <f>vkm_2011_GW_PW*SUMIFS(TableVerdeelsleutelVkm[LPG],TableVerdeelsleutelVkm[Voertuigtype],"Lichte voertuigen")*SUMIFS(TableECFTransport[EnergieConsumptieFactor (PJ per km)],TableECFTransport[Index],CONCATENATE($A6,"_LPG_LPG"))</f>
        <v>9.42641289210808E-4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0.19582675391885787</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5.51995150489464E-2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1.3026962056369856E-2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0.11549224192367319</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3.9496249301079491E-5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6.6818808350201445E-3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1.0908458143847413E-5</v>
      </c>
      <c r="C8" s="450"/>
      <c r="D8" s="452">
        <f>vkm_2011_NGW_PW*SUMIFS(TableVerdeelsleutelVkm[CNG],TableVerdeelsleutelVkm[Voertuigtype],"Lichte voertuigen")*SUMIFS(TableECFTransport[EnergieConsumptieFactor (PJ per km)],TableECFTransport[Index],CONCATENATE($A8,"_CNG_CNG"))</f>
        <v>4.4628855945351347E-5</v>
      </c>
      <c r="E8" s="452">
        <f>vkm_2011_NGW_PW*SUMIFS(TableVerdeelsleutelVkm[LPG],TableVerdeelsleutelVkm[Voertuigtype],"Lichte voertuigen")*SUMIFS(TableECFTransport[EnergieConsumptieFactor (PJ per km)],TableECFTransport[Index],CONCATENATE($A8,"_LPG_LPG"))</f>
        <v>2.6819002201336375E-4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5.2082108286548204E-2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1.6454074170658986E-2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3.5192411776659872E-3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7.8341124701305775E-3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2.5350275382279938E-6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4.5324337609682782E-4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20.415080930646603</v>
      </c>
      <c r="C14" s="21"/>
      <c r="D14" s="21">
        <f t="shared" ref="D14:M14" si="0">((D5)*10^9/3600)+D12</f>
        <v>52.610216268539759</v>
      </c>
      <c r="E14" s="21">
        <f t="shared" si="0"/>
        <v>336.34203089560322</v>
      </c>
      <c r="F14" s="21"/>
      <c r="G14" s="21">
        <f t="shared" si="0"/>
        <v>103120.89349978053</v>
      </c>
      <c r="H14" s="21">
        <f t="shared" si="0"/>
        <v>19915.450137901302</v>
      </c>
      <c r="I14" s="21"/>
      <c r="J14" s="21"/>
      <c r="K14" s="21"/>
      <c r="L14" s="21"/>
      <c r="M14" s="21">
        <f t="shared" si="0"/>
        <v>6578.1465125424475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0.18888862820743724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3.8561766317336481</v>
      </c>
      <c r="C18" s="23"/>
      <c r="D18" s="23">
        <f t="shared" ref="D18:M18" si="1">D14*D16</f>
        <v>10.627263686245032</v>
      </c>
      <c r="E18" s="23">
        <f t="shared" si="1"/>
        <v>76.349641013301934</v>
      </c>
      <c r="F18" s="23"/>
      <c r="G18" s="23">
        <f t="shared" si="1"/>
        <v>27533.278564441403</v>
      </c>
      <c r="H18" s="23">
        <f t="shared" si="1"/>
        <v>4958.9470843374238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6.7481663177844176E-3</v>
      </c>
      <c r="H50" s="321">
        <f t="shared" si="2"/>
        <v>0</v>
      </c>
      <c r="I50" s="321">
        <f t="shared" si="2"/>
        <v>0</v>
      </c>
      <c r="J50" s="321">
        <f t="shared" si="2"/>
        <v>0</v>
      </c>
      <c r="K50" s="321">
        <f t="shared" si="2"/>
        <v>0</v>
      </c>
      <c r="L50" s="321">
        <f t="shared" si="2"/>
        <v>0</v>
      </c>
      <c r="M50" s="321">
        <f t="shared" si="2"/>
        <v>3.8482825313575426E-4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6.7481663177844176E-3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3.8482825313575426E-4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1874.4906438290047</v>
      </c>
      <c r="H54" s="21">
        <f t="shared" si="3"/>
        <v>0</v>
      </c>
      <c r="I54" s="21">
        <f t="shared" si="3"/>
        <v>0</v>
      </c>
      <c r="J54" s="21">
        <f t="shared" si="3"/>
        <v>0</v>
      </c>
      <c r="K54" s="21">
        <f t="shared" si="3"/>
        <v>0</v>
      </c>
      <c r="L54" s="21">
        <f t="shared" si="3"/>
        <v>0</v>
      </c>
      <c r="M54" s="21">
        <f t="shared" si="3"/>
        <v>106.89673698215397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0.18888862820743724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500.48900190234428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4"/>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2803.1050047492131</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8129.629355334996</v>
      </c>
      <c r="C6" s="1216"/>
      <c r="D6" s="1201"/>
      <c r="E6" s="1201"/>
      <c r="F6" s="1219"/>
      <c r="G6" s="1222"/>
      <c r="H6" s="1213"/>
      <c r="I6" s="1201"/>
      <c r="J6" s="1201"/>
      <c r="K6" s="1201"/>
      <c r="L6" s="1205"/>
      <c r="M6" s="576"/>
      <c r="N6" s="1179"/>
      <c r="O6" s="1180"/>
      <c r="Q6" s="574"/>
      <c r="R6" s="1167"/>
      <c r="S6" s="1167"/>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1845</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5220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12821.384360084208</v>
      </c>
      <c r="C9" s="595">
        <f t="shared" ref="C9:L9" si="0">SUM(C7:C8)</f>
        <v>0</v>
      </c>
      <c r="D9" s="595">
        <f t="shared" si="0"/>
        <v>0</v>
      </c>
      <c r="E9" s="595">
        <f t="shared" si="0"/>
        <v>0</v>
      </c>
      <c r="F9" s="595">
        <f t="shared" si="0"/>
        <v>0</v>
      </c>
      <c r="G9" s="595">
        <f t="shared" si="0"/>
        <v>0</v>
      </c>
      <c r="H9" s="595">
        <f t="shared" si="0"/>
        <v>0</v>
      </c>
      <c r="I9" s="595">
        <f t="shared" si="0"/>
        <v>0</v>
      </c>
      <c r="J9" s="595">
        <f t="shared" si="0"/>
        <v>5271.3529411764703</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32003</v>
      </c>
      <c r="C27" s="852">
        <v>8600</v>
      </c>
      <c r="D27" s="673" t="s">
        <v>834</v>
      </c>
      <c r="E27" s="672" t="s">
        <v>835</v>
      </c>
      <c r="F27" s="672" t="s">
        <v>836</v>
      </c>
      <c r="G27" s="672" t="s">
        <v>837</v>
      </c>
      <c r="H27" s="672" t="s">
        <v>838</v>
      </c>
      <c r="I27" s="672" t="s">
        <v>839</v>
      </c>
      <c r="J27" s="851">
        <v>41117</v>
      </c>
      <c r="K27" s="851">
        <v>41244</v>
      </c>
      <c r="L27" s="672" t="s">
        <v>840</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38.25">
      <c r="A63" s="627"/>
      <c r="B63" s="852">
        <v>32003</v>
      </c>
      <c r="C63" s="852">
        <v>8600</v>
      </c>
      <c r="D63" s="675" t="s">
        <v>841</v>
      </c>
      <c r="E63" s="675" t="s">
        <v>842</v>
      </c>
      <c r="F63" s="675" t="s">
        <v>843</v>
      </c>
      <c r="G63" s="675" t="s">
        <v>844</v>
      </c>
      <c r="H63" s="675" t="s">
        <v>845</v>
      </c>
      <c r="I63" s="675" t="s">
        <v>846</v>
      </c>
      <c r="J63" s="851">
        <v>39340</v>
      </c>
      <c r="K63" s="851">
        <v>40704</v>
      </c>
      <c r="L63" s="675" t="s">
        <v>840</v>
      </c>
      <c r="M63" s="675">
        <v>378</v>
      </c>
      <c r="N63" s="675">
        <v>1701</v>
      </c>
      <c r="O63" s="675">
        <v>0</v>
      </c>
      <c r="P63" s="675">
        <v>0</v>
      </c>
      <c r="Q63" s="675">
        <v>0</v>
      </c>
      <c r="R63" s="675">
        <v>0</v>
      </c>
      <c r="S63" s="675">
        <v>0</v>
      </c>
      <c r="T63" s="675">
        <v>0</v>
      </c>
      <c r="U63" s="675">
        <v>0</v>
      </c>
      <c r="V63" s="675">
        <v>4860</v>
      </c>
      <c r="W63" s="675">
        <v>0</v>
      </c>
      <c r="X63" s="675">
        <v>10</v>
      </c>
      <c r="Y63" s="675" t="s">
        <v>112</v>
      </c>
      <c r="Z63" s="676" t="s">
        <v>112</v>
      </c>
    </row>
    <row r="64" spans="1:26" s="641" customFormat="1" ht="38.25">
      <c r="A64" s="627"/>
      <c r="B64" s="852">
        <v>32003</v>
      </c>
      <c r="C64" s="852">
        <v>8600</v>
      </c>
      <c r="D64" s="675" t="s">
        <v>847</v>
      </c>
      <c r="E64" s="675" t="s">
        <v>848</v>
      </c>
      <c r="F64" s="675" t="s">
        <v>849</v>
      </c>
      <c r="G64" s="675" t="s">
        <v>850</v>
      </c>
      <c r="H64" s="675" t="s">
        <v>851</v>
      </c>
      <c r="I64" s="675" t="s">
        <v>848</v>
      </c>
      <c r="J64" s="851">
        <v>40274</v>
      </c>
      <c r="K64" s="851">
        <v>40274</v>
      </c>
      <c r="L64" s="675" t="s">
        <v>852</v>
      </c>
      <c r="M64" s="675">
        <v>32</v>
      </c>
      <c r="N64" s="675">
        <v>144</v>
      </c>
      <c r="O64" s="675">
        <v>0</v>
      </c>
      <c r="P64" s="675">
        <v>0</v>
      </c>
      <c r="Q64" s="675">
        <v>0</v>
      </c>
      <c r="R64" s="675">
        <v>0</v>
      </c>
      <c r="S64" s="675">
        <v>0</v>
      </c>
      <c r="T64" s="675">
        <v>0</v>
      </c>
      <c r="U64" s="675">
        <v>0</v>
      </c>
      <c r="V64" s="675">
        <v>360</v>
      </c>
      <c r="W64" s="675">
        <v>0</v>
      </c>
      <c r="X64" s="675">
        <v>10</v>
      </c>
      <c r="Y64" s="675" t="s">
        <v>112</v>
      </c>
      <c r="Z64" s="676" t="s">
        <v>112</v>
      </c>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410</v>
      </c>
      <c r="N88" s="630">
        <f t="shared" ref="N88:W88" si="5">SUM(N63:N87)</f>
        <v>1845</v>
      </c>
      <c r="O88" s="630">
        <f t="shared" si="5"/>
        <v>0</v>
      </c>
      <c r="P88" s="630">
        <f t="shared" si="5"/>
        <v>0</v>
      </c>
      <c r="Q88" s="630">
        <f t="shared" si="5"/>
        <v>0</v>
      </c>
      <c r="R88" s="630">
        <f t="shared" si="5"/>
        <v>0</v>
      </c>
      <c r="S88" s="630">
        <f t="shared" si="5"/>
        <v>0</v>
      </c>
      <c r="T88" s="630">
        <f t="shared" si="5"/>
        <v>0</v>
      </c>
      <c r="U88" s="630">
        <f t="shared" si="5"/>
        <v>0</v>
      </c>
      <c r="V88" s="630">
        <f t="shared" si="5"/>
        <v>5220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410</v>
      </c>
      <c r="N91" s="635">
        <f t="shared" si="8"/>
        <v>1845</v>
      </c>
      <c r="O91" s="635">
        <f t="shared" si="8"/>
        <v>0</v>
      </c>
      <c r="P91" s="635">
        <f t="shared" si="8"/>
        <v>0</v>
      </c>
      <c r="Q91" s="635">
        <f t="shared" si="8"/>
        <v>0</v>
      </c>
      <c r="R91" s="635">
        <f t="shared" si="8"/>
        <v>0</v>
      </c>
      <c r="S91" s="635">
        <f t="shared" si="8"/>
        <v>0</v>
      </c>
      <c r="T91" s="635">
        <f t="shared" si="8"/>
        <v>0</v>
      </c>
      <c r="U91" s="635">
        <f t="shared" si="8"/>
        <v>0</v>
      </c>
      <c r="V91" s="635">
        <f t="shared" si="8"/>
        <v>5220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30514.771971960858</v>
      </c>
      <c r="D10" s="719">
        <f ca="1">tertiair!C16</f>
        <v>0</v>
      </c>
      <c r="E10" s="719">
        <f ca="1">tertiair!D16</f>
        <v>18704.029849999999</v>
      </c>
      <c r="F10" s="719">
        <f>tertiair!E16</f>
        <v>263.27092774032155</v>
      </c>
      <c r="G10" s="719">
        <f ca="1">tertiair!F16</f>
        <v>4956.8055252030945</v>
      </c>
      <c r="H10" s="719">
        <f>tertiair!G16</f>
        <v>0</v>
      </c>
      <c r="I10" s="719">
        <f>tertiair!H16</f>
        <v>0</v>
      </c>
      <c r="J10" s="719">
        <f>tertiair!I16</f>
        <v>0</v>
      </c>
      <c r="K10" s="719">
        <f>tertiair!J16</f>
        <v>0</v>
      </c>
      <c r="L10" s="719">
        <f>tertiair!K16</f>
        <v>0</v>
      </c>
      <c r="M10" s="719">
        <f ca="1">tertiair!L16</f>
        <v>0</v>
      </c>
      <c r="N10" s="719">
        <f>tertiair!M16</f>
        <v>0</v>
      </c>
      <c r="O10" s="719">
        <f ca="1">tertiair!N16</f>
        <v>7024.8163180948732</v>
      </c>
      <c r="P10" s="719">
        <f>tertiair!O16</f>
        <v>3.1266666666666669</v>
      </c>
      <c r="Q10" s="720">
        <f>tertiair!P16</f>
        <v>19.066666666666666</v>
      </c>
      <c r="R10" s="722">
        <f ca="1">SUM(C10:Q10)</f>
        <v>61485.887926332478</v>
      </c>
      <c r="S10" s="67"/>
    </row>
    <row r="11" spans="1:19" s="475" customFormat="1">
      <c r="A11" s="871" t="s">
        <v>225</v>
      </c>
      <c r="B11" s="876"/>
      <c r="C11" s="719">
        <f>huishoudens!B8</f>
        <v>29274.485835866271</v>
      </c>
      <c r="D11" s="719">
        <f>huishoudens!C8</f>
        <v>0</v>
      </c>
      <c r="E11" s="719">
        <f>huishoudens!D8</f>
        <v>59368.418691999992</v>
      </c>
      <c r="F11" s="719">
        <f>huishoudens!E8</f>
        <v>7044.5448395868389</v>
      </c>
      <c r="G11" s="719">
        <f>huishoudens!F8</f>
        <v>10698.324793958645</v>
      </c>
      <c r="H11" s="719">
        <f>huishoudens!G8</f>
        <v>0</v>
      </c>
      <c r="I11" s="719">
        <f>huishoudens!H8</f>
        <v>0</v>
      </c>
      <c r="J11" s="719">
        <f>huishoudens!I8</f>
        <v>0</v>
      </c>
      <c r="K11" s="719">
        <f>huishoudens!J8</f>
        <v>3777.7116309995936</v>
      </c>
      <c r="L11" s="719">
        <f>huishoudens!K8</f>
        <v>0</v>
      </c>
      <c r="M11" s="719">
        <f>huishoudens!L8</f>
        <v>0</v>
      </c>
      <c r="N11" s="719">
        <f>huishoudens!M8</f>
        <v>0</v>
      </c>
      <c r="O11" s="719">
        <f>huishoudens!N8</f>
        <v>22826.688321079422</v>
      </c>
      <c r="P11" s="719">
        <f>huishoudens!O8</f>
        <v>256.38666666666671</v>
      </c>
      <c r="Q11" s="720">
        <f>huishoudens!P8</f>
        <v>514.79999999999995</v>
      </c>
      <c r="R11" s="722">
        <f>SUM(C11:Q11)</f>
        <v>133761.36078015741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18907.457999999999</v>
      </c>
      <c r="D13" s="719">
        <f>industrie!C18</f>
        <v>0</v>
      </c>
      <c r="E13" s="719">
        <f>industrie!D18</f>
        <v>11136.847875999998</v>
      </c>
      <c r="F13" s="719">
        <f>industrie!E18</f>
        <v>2963.8214864280121</v>
      </c>
      <c r="G13" s="719">
        <f>industrie!F18</f>
        <v>18943.30596280055</v>
      </c>
      <c r="H13" s="719">
        <f>industrie!G18</f>
        <v>0</v>
      </c>
      <c r="I13" s="719">
        <f>industrie!H18</f>
        <v>0</v>
      </c>
      <c r="J13" s="719">
        <f>industrie!I18</f>
        <v>0</v>
      </c>
      <c r="K13" s="719">
        <f>industrie!J18</f>
        <v>126.46700191062672</v>
      </c>
      <c r="L13" s="719">
        <f>industrie!K18</f>
        <v>0</v>
      </c>
      <c r="M13" s="719">
        <f>industrie!L18</f>
        <v>0</v>
      </c>
      <c r="N13" s="719">
        <f>industrie!M18</f>
        <v>0</v>
      </c>
      <c r="O13" s="719">
        <f>industrie!N18</f>
        <v>6318.352947842006</v>
      </c>
      <c r="P13" s="719">
        <f>industrie!O18</f>
        <v>0</v>
      </c>
      <c r="Q13" s="720">
        <f>industrie!P18</f>
        <v>0</v>
      </c>
      <c r="R13" s="722">
        <f>SUM(C13:Q13)</f>
        <v>58396.253274981194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78696.715807827131</v>
      </c>
      <c r="D15" s="724">
        <f t="shared" ref="D15:Q15" ca="1" si="0">SUM(D9:D14)</f>
        <v>0</v>
      </c>
      <c r="E15" s="724">
        <f t="shared" ca="1" si="0"/>
        <v>89209.296417999998</v>
      </c>
      <c r="F15" s="724">
        <f t="shared" si="0"/>
        <v>10271.637253755172</v>
      </c>
      <c r="G15" s="724">
        <f t="shared" ca="1" si="0"/>
        <v>34598.436281962291</v>
      </c>
      <c r="H15" s="724">
        <f t="shared" si="0"/>
        <v>0</v>
      </c>
      <c r="I15" s="724">
        <f t="shared" si="0"/>
        <v>0</v>
      </c>
      <c r="J15" s="724">
        <f t="shared" si="0"/>
        <v>0</v>
      </c>
      <c r="K15" s="724">
        <f t="shared" si="0"/>
        <v>3904.1786329102201</v>
      </c>
      <c r="L15" s="724">
        <f t="shared" si="0"/>
        <v>0</v>
      </c>
      <c r="M15" s="724">
        <f t="shared" ca="1" si="0"/>
        <v>0</v>
      </c>
      <c r="N15" s="724">
        <f t="shared" si="0"/>
        <v>0</v>
      </c>
      <c r="O15" s="724">
        <f t="shared" ca="1" si="0"/>
        <v>36169.857587016304</v>
      </c>
      <c r="P15" s="724">
        <f t="shared" si="0"/>
        <v>259.51333333333338</v>
      </c>
      <c r="Q15" s="725">
        <f t="shared" si="0"/>
        <v>533.86666666666667</v>
      </c>
      <c r="R15" s="726">
        <f ca="1">SUM(R9:R14)</f>
        <v>253643.50198147108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1874.4906438290047</v>
      </c>
      <c r="I18" s="719">
        <f>transport!H54</f>
        <v>0</v>
      </c>
      <c r="J18" s="719">
        <f>transport!I54</f>
        <v>0</v>
      </c>
      <c r="K18" s="719">
        <f>transport!J54</f>
        <v>0</v>
      </c>
      <c r="L18" s="719">
        <f>transport!K54</f>
        <v>0</v>
      </c>
      <c r="M18" s="719">
        <f>transport!L54</f>
        <v>0</v>
      </c>
      <c r="N18" s="719">
        <f>transport!M54</f>
        <v>106.89673698215397</v>
      </c>
      <c r="O18" s="719">
        <f>transport!N54</f>
        <v>0</v>
      </c>
      <c r="P18" s="719">
        <f>transport!O54</f>
        <v>0</v>
      </c>
      <c r="Q18" s="720">
        <f>transport!P54</f>
        <v>0</v>
      </c>
      <c r="R18" s="722">
        <f>SUM(C18:Q18)</f>
        <v>1981.3873808111587</v>
      </c>
      <c r="S18" s="67"/>
    </row>
    <row r="19" spans="1:19" s="475" customFormat="1" ht="15" thickBot="1">
      <c r="A19" s="871" t="s">
        <v>307</v>
      </c>
      <c r="B19" s="876"/>
      <c r="C19" s="728">
        <f>transport!B14</f>
        <v>20.415080930646603</v>
      </c>
      <c r="D19" s="728">
        <f>transport!C14</f>
        <v>0</v>
      </c>
      <c r="E19" s="728">
        <f>transport!D14</f>
        <v>52.610216268539759</v>
      </c>
      <c r="F19" s="728">
        <f>transport!E14</f>
        <v>336.34203089560322</v>
      </c>
      <c r="G19" s="728">
        <f>transport!F14</f>
        <v>0</v>
      </c>
      <c r="H19" s="728">
        <f>transport!G14</f>
        <v>103120.89349978053</v>
      </c>
      <c r="I19" s="728">
        <f>transport!H14</f>
        <v>19915.450137901302</v>
      </c>
      <c r="J19" s="728">
        <f>transport!I14</f>
        <v>0</v>
      </c>
      <c r="K19" s="728">
        <f>transport!J14</f>
        <v>0</v>
      </c>
      <c r="L19" s="728">
        <f>transport!K14</f>
        <v>0</v>
      </c>
      <c r="M19" s="728">
        <f>transport!L14</f>
        <v>0</v>
      </c>
      <c r="N19" s="728">
        <f>transport!M14</f>
        <v>6578.1465125424475</v>
      </c>
      <c r="O19" s="728">
        <f>transport!N14</f>
        <v>0</v>
      </c>
      <c r="P19" s="728">
        <f>transport!O14</f>
        <v>0</v>
      </c>
      <c r="Q19" s="729">
        <f>transport!P14</f>
        <v>0</v>
      </c>
      <c r="R19" s="730">
        <f>SUM(C19:Q19)</f>
        <v>130023.85747831906</v>
      </c>
      <c r="S19" s="67"/>
    </row>
    <row r="20" spans="1:19" s="475" customFormat="1" ht="15.75" thickBot="1">
      <c r="A20" s="731" t="s">
        <v>230</v>
      </c>
      <c r="B20" s="879"/>
      <c r="C20" s="874">
        <f>SUM(C17:C19)</f>
        <v>20.415080930646603</v>
      </c>
      <c r="D20" s="732">
        <f t="shared" ref="D20:R20" si="1">SUM(D17:D19)</f>
        <v>0</v>
      </c>
      <c r="E20" s="732">
        <f t="shared" si="1"/>
        <v>52.610216268539759</v>
      </c>
      <c r="F20" s="732">
        <f t="shared" si="1"/>
        <v>336.34203089560322</v>
      </c>
      <c r="G20" s="732">
        <f t="shared" si="1"/>
        <v>0</v>
      </c>
      <c r="H20" s="732">
        <f t="shared" si="1"/>
        <v>104995.38414360954</v>
      </c>
      <c r="I20" s="732">
        <f t="shared" si="1"/>
        <v>19915.450137901302</v>
      </c>
      <c r="J20" s="732">
        <f t="shared" si="1"/>
        <v>0</v>
      </c>
      <c r="K20" s="732">
        <f t="shared" si="1"/>
        <v>0</v>
      </c>
      <c r="L20" s="732">
        <f t="shared" si="1"/>
        <v>0</v>
      </c>
      <c r="M20" s="732">
        <f t="shared" si="1"/>
        <v>0</v>
      </c>
      <c r="N20" s="732">
        <f t="shared" si="1"/>
        <v>6685.0432495246014</v>
      </c>
      <c r="O20" s="732">
        <f t="shared" si="1"/>
        <v>0</v>
      </c>
      <c r="P20" s="732">
        <f t="shared" si="1"/>
        <v>0</v>
      </c>
      <c r="Q20" s="733">
        <f t="shared" si="1"/>
        <v>0</v>
      </c>
      <c r="R20" s="734">
        <f t="shared" si="1"/>
        <v>132005.24485913021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9523.4451253405987</v>
      </c>
      <c r="D22" s="728">
        <f>+landbouw!C8</f>
        <v>62.357142857142847</v>
      </c>
      <c r="E22" s="728">
        <f>+landbouw!D8</f>
        <v>904.50485400000002</v>
      </c>
      <c r="F22" s="728">
        <f>+landbouw!E8</f>
        <v>88.210137536379946</v>
      </c>
      <c r="G22" s="728">
        <f>+landbouw!F8</f>
        <v>24162.794497423693</v>
      </c>
      <c r="H22" s="728">
        <f>+landbouw!G8</f>
        <v>0</v>
      </c>
      <c r="I22" s="728">
        <f>+landbouw!H8</f>
        <v>0</v>
      </c>
      <c r="J22" s="728">
        <f>+landbouw!I8</f>
        <v>0</v>
      </c>
      <c r="K22" s="728">
        <f>+landbouw!J8</f>
        <v>1460.0504196725067</v>
      </c>
      <c r="L22" s="728">
        <f>+landbouw!K8</f>
        <v>0</v>
      </c>
      <c r="M22" s="728">
        <f>+landbouw!L8</f>
        <v>0</v>
      </c>
      <c r="N22" s="728">
        <f>+landbouw!M8</f>
        <v>0</v>
      </c>
      <c r="O22" s="728">
        <f>+landbouw!N8</f>
        <v>0</v>
      </c>
      <c r="P22" s="728">
        <f>+landbouw!O8</f>
        <v>0</v>
      </c>
      <c r="Q22" s="729">
        <f>+landbouw!P8</f>
        <v>0</v>
      </c>
      <c r="R22" s="730">
        <f>SUM(C22:Q22)</f>
        <v>36201.362176830327</v>
      </c>
      <c r="S22" s="67"/>
    </row>
    <row r="23" spans="1:19" s="475" customFormat="1" ht="17.25" thickTop="1" thickBot="1">
      <c r="A23" s="735" t="s">
        <v>116</v>
      </c>
      <c r="B23" s="865"/>
      <c r="C23" s="736">
        <f ca="1">C20+C15+C22</f>
        <v>88240.576014098377</v>
      </c>
      <c r="D23" s="736">
        <f t="shared" ref="D23:Q23" ca="1" si="2">D20+D15+D22</f>
        <v>62.357142857142847</v>
      </c>
      <c r="E23" s="736">
        <f t="shared" ca="1" si="2"/>
        <v>90166.411488268539</v>
      </c>
      <c r="F23" s="736">
        <f t="shared" si="2"/>
        <v>10696.189422187155</v>
      </c>
      <c r="G23" s="736">
        <f t="shared" ca="1" si="2"/>
        <v>58761.23077938598</v>
      </c>
      <c r="H23" s="736">
        <f t="shared" si="2"/>
        <v>104995.38414360954</v>
      </c>
      <c r="I23" s="736">
        <f t="shared" si="2"/>
        <v>19915.450137901302</v>
      </c>
      <c r="J23" s="736">
        <f t="shared" si="2"/>
        <v>0</v>
      </c>
      <c r="K23" s="736">
        <f t="shared" si="2"/>
        <v>5364.2290525827266</v>
      </c>
      <c r="L23" s="736">
        <f t="shared" si="2"/>
        <v>0</v>
      </c>
      <c r="M23" s="736">
        <f t="shared" ca="1" si="2"/>
        <v>0</v>
      </c>
      <c r="N23" s="736">
        <f t="shared" si="2"/>
        <v>6685.0432495246014</v>
      </c>
      <c r="O23" s="736">
        <f t="shared" ca="1" si="2"/>
        <v>36169.857587016304</v>
      </c>
      <c r="P23" s="736">
        <f t="shared" si="2"/>
        <v>259.51333333333338</v>
      </c>
      <c r="Q23" s="737">
        <f t="shared" si="2"/>
        <v>533.86666666666667</v>
      </c>
      <c r="R23" s="738">
        <f ca="1">R20+R15+R22</f>
        <v>421850.10901743162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5763.8934178464397</v>
      </c>
      <c r="D36" s="719">
        <f ca="1">tertiair!C20</f>
        <v>0</v>
      </c>
      <c r="E36" s="719">
        <f ca="1">tertiair!D20</f>
        <v>3778.2140297000001</v>
      </c>
      <c r="F36" s="719">
        <f>tertiair!E20</f>
        <v>59.762500597052991</v>
      </c>
      <c r="G36" s="719">
        <f ca="1">tertiair!F20</f>
        <v>1323.4670752292263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10925.337023372718</v>
      </c>
    </row>
    <row r="37" spans="1:18">
      <c r="A37" s="886" t="s">
        <v>225</v>
      </c>
      <c r="B37" s="893"/>
      <c r="C37" s="719">
        <f ca="1">huishoudens!B12</f>
        <v>5529.6174710148316</v>
      </c>
      <c r="D37" s="719">
        <f ca="1">huishoudens!C12</f>
        <v>0</v>
      </c>
      <c r="E37" s="719">
        <f>huishoudens!D12</f>
        <v>11992.420575783999</v>
      </c>
      <c r="F37" s="719">
        <f>huishoudens!E12</f>
        <v>1599.1116785862125</v>
      </c>
      <c r="G37" s="719">
        <f>huishoudens!F12</f>
        <v>2856.4527199869585</v>
      </c>
      <c r="H37" s="719">
        <f>huishoudens!G12</f>
        <v>0</v>
      </c>
      <c r="I37" s="719">
        <f>huishoudens!H12</f>
        <v>0</v>
      </c>
      <c r="J37" s="719">
        <f>huishoudens!I12</f>
        <v>0</v>
      </c>
      <c r="K37" s="719">
        <f>huishoudens!J12</f>
        <v>1337.309917373856</v>
      </c>
      <c r="L37" s="719">
        <f>huishoudens!K12</f>
        <v>0</v>
      </c>
      <c r="M37" s="719">
        <f>huishoudens!L12</f>
        <v>0</v>
      </c>
      <c r="N37" s="719">
        <f>huishoudens!M12</f>
        <v>0</v>
      </c>
      <c r="O37" s="719">
        <f>huishoudens!N12</f>
        <v>0</v>
      </c>
      <c r="P37" s="719">
        <f>huishoudens!O12</f>
        <v>0</v>
      </c>
      <c r="Q37" s="829">
        <f>huishoudens!P12</f>
        <v>0</v>
      </c>
      <c r="R37" s="918">
        <f ca="1">SUM(C37:Q37)</f>
        <v>23314.912362745858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3571.4038045097345</v>
      </c>
      <c r="D39" s="719">
        <f ca="1">industrie!C22</f>
        <v>0</v>
      </c>
      <c r="E39" s="719">
        <f>industrie!D22</f>
        <v>2249.6432709519995</v>
      </c>
      <c r="F39" s="719">
        <f>industrie!E22</f>
        <v>672.78747741915879</v>
      </c>
      <c r="G39" s="719">
        <f>industrie!F22</f>
        <v>5057.862692067747</v>
      </c>
      <c r="H39" s="719">
        <f>industrie!G22</f>
        <v>0</v>
      </c>
      <c r="I39" s="719">
        <f>industrie!H22</f>
        <v>0</v>
      </c>
      <c r="J39" s="719">
        <f>industrie!I22</f>
        <v>0</v>
      </c>
      <c r="K39" s="719">
        <f>industrie!J22</f>
        <v>44.769318676361856</v>
      </c>
      <c r="L39" s="719">
        <f>industrie!K22</f>
        <v>0</v>
      </c>
      <c r="M39" s="719">
        <f>industrie!L22</f>
        <v>0</v>
      </c>
      <c r="N39" s="719">
        <f>industrie!M22</f>
        <v>0</v>
      </c>
      <c r="O39" s="719">
        <f>industrie!N22</f>
        <v>0</v>
      </c>
      <c r="P39" s="719">
        <f>industrie!O22</f>
        <v>0</v>
      </c>
      <c r="Q39" s="829">
        <f>industrie!P22</f>
        <v>0</v>
      </c>
      <c r="R39" s="919">
        <f ca="1">SUM(C39:Q39)</f>
        <v>11596.466563625003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14864.914693371005</v>
      </c>
      <c r="D41" s="764">
        <f t="shared" ref="D41:R41" ca="1" si="4">SUM(D35:D40)</f>
        <v>0</v>
      </c>
      <c r="E41" s="764">
        <f t="shared" ca="1" si="4"/>
        <v>18020.277876435997</v>
      </c>
      <c r="F41" s="764">
        <f t="shared" si="4"/>
        <v>2331.6616566024245</v>
      </c>
      <c r="G41" s="764">
        <f t="shared" ca="1" si="4"/>
        <v>9237.7824872839319</v>
      </c>
      <c r="H41" s="764">
        <f t="shared" si="4"/>
        <v>0</v>
      </c>
      <c r="I41" s="764">
        <f t="shared" si="4"/>
        <v>0</v>
      </c>
      <c r="J41" s="764">
        <f t="shared" si="4"/>
        <v>0</v>
      </c>
      <c r="K41" s="764">
        <f t="shared" si="4"/>
        <v>1382.0792360502178</v>
      </c>
      <c r="L41" s="764">
        <f t="shared" si="4"/>
        <v>0</v>
      </c>
      <c r="M41" s="764">
        <f t="shared" ca="1" si="4"/>
        <v>0</v>
      </c>
      <c r="N41" s="764">
        <f t="shared" si="4"/>
        <v>0</v>
      </c>
      <c r="O41" s="764">
        <f t="shared" ca="1" si="4"/>
        <v>0</v>
      </c>
      <c r="P41" s="764">
        <f t="shared" si="4"/>
        <v>0</v>
      </c>
      <c r="Q41" s="765">
        <f t="shared" si="4"/>
        <v>0</v>
      </c>
      <c r="R41" s="766">
        <f t="shared" ca="1" si="4"/>
        <v>45836.715949743579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500.48900190234428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500.48900190234428</v>
      </c>
    </row>
    <row r="45" spans="1:18" ht="15" thickBot="1">
      <c r="A45" s="889" t="s">
        <v>307</v>
      </c>
      <c r="B45" s="899"/>
      <c r="C45" s="728">
        <f ca="1">transport!B18</f>
        <v>3.8561766317336481</v>
      </c>
      <c r="D45" s="728">
        <f>transport!C18</f>
        <v>0</v>
      </c>
      <c r="E45" s="728">
        <f>transport!D18</f>
        <v>10.627263686245032</v>
      </c>
      <c r="F45" s="728">
        <f>transport!E18</f>
        <v>76.349641013301934</v>
      </c>
      <c r="G45" s="728">
        <f>transport!F18</f>
        <v>0</v>
      </c>
      <c r="H45" s="728">
        <f>transport!G18</f>
        <v>27533.278564441403</v>
      </c>
      <c r="I45" s="728">
        <f>transport!H18</f>
        <v>4958.9470843374238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32583.058730110111</v>
      </c>
    </row>
    <row r="46" spans="1:18" ht="15.75" thickBot="1">
      <c r="A46" s="887" t="s">
        <v>230</v>
      </c>
      <c r="B46" s="900"/>
      <c r="C46" s="764">
        <f t="shared" ref="C46:R46" ca="1" si="5">SUM(C43:C45)</f>
        <v>3.8561766317336481</v>
      </c>
      <c r="D46" s="764">
        <f t="shared" ca="1" si="5"/>
        <v>0</v>
      </c>
      <c r="E46" s="764">
        <f t="shared" si="5"/>
        <v>10.627263686245032</v>
      </c>
      <c r="F46" s="764">
        <f t="shared" si="5"/>
        <v>76.349641013301934</v>
      </c>
      <c r="G46" s="764">
        <f t="shared" si="5"/>
        <v>0</v>
      </c>
      <c r="H46" s="764">
        <f t="shared" si="5"/>
        <v>28033.767566343748</v>
      </c>
      <c r="I46" s="764">
        <f t="shared" si="5"/>
        <v>4958.9470843374238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33083.547732012456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1798.8704855343908</v>
      </c>
      <c r="D48" s="719">
        <f ca="1">+landbouw!C12</f>
        <v>0</v>
      </c>
      <c r="E48" s="719">
        <f>+landbouw!D12</f>
        <v>182.70998050800003</v>
      </c>
      <c r="F48" s="719">
        <f>+landbouw!E12</f>
        <v>20.023701220758248</v>
      </c>
      <c r="G48" s="719">
        <f>+landbouw!F12</f>
        <v>6451.4661308121267</v>
      </c>
      <c r="H48" s="719">
        <f>+landbouw!G12</f>
        <v>0</v>
      </c>
      <c r="I48" s="719">
        <f>+landbouw!H12</f>
        <v>0</v>
      </c>
      <c r="J48" s="719">
        <f>+landbouw!I12</f>
        <v>0</v>
      </c>
      <c r="K48" s="719">
        <f>+landbouw!J12</f>
        <v>516.85784856406735</v>
      </c>
      <c r="L48" s="719">
        <f>+landbouw!K12</f>
        <v>0</v>
      </c>
      <c r="M48" s="719">
        <f>+landbouw!L12</f>
        <v>0</v>
      </c>
      <c r="N48" s="719">
        <f>+landbouw!M12</f>
        <v>0</v>
      </c>
      <c r="O48" s="719">
        <f>+landbouw!N12</f>
        <v>0</v>
      </c>
      <c r="P48" s="719">
        <f>+landbouw!O12</f>
        <v>0</v>
      </c>
      <c r="Q48" s="720">
        <f>+landbouw!P12</f>
        <v>0</v>
      </c>
      <c r="R48" s="762">
        <f ca="1">SUM(C48:Q48)</f>
        <v>8969.928146639344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16667.641355537129</v>
      </c>
      <c r="D53" s="774">
        <f t="shared" ref="D53:Q53" ca="1" si="6">D41+D46+D48</f>
        <v>0</v>
      </c>
      <c r="E53" s="774">
        <f t="shared" ca="1" si="6"/>
        <v>18213.615120630242</v>
      </c>
      <c r="F53" s="774">
        <f t="shared" si="6"/>
        <v>2428.0349988364846</v>
      </c>
      <c r="G53" s="774">
        <f t="shared" ca="1" si="6"/>
        <v>15689.248618096059</v>
      </c>
      <c r="H53" s="774">
        <f t="shared" si="6"/>
        <v>28033.767566343748</v>
      </c>
      <c r="I53" s="774">
        <f t="shared" si="6"/>
        <v>4958.9470843374238</v>
      </c>
      <c r="J53" s="774">
        <f t="shared" si="6"/>
        <v>0</v>
      </c>
      <c r="K53" s="774">
        <f t="shared" si="6"/>
        <v>1898.9370846142851</v>
      </c>
      <c r="L53" s="774">
        <f t="shared" si="6"/>
        <v>0</v>
      </c>
      <c r="M53" s="774">
        <f t="shared" ca="1" si="6"/>
        <v>0</v>
      </c>
      <c r="N53" s="774">
        <f t="shared" si="6"/>
        <v>0</v>
      </c>
      <c r="O53" s="774">
        <f t="shared" ca="1" si="6"/>
        <v>0</v>
      </c>
      <c r="P53" s="774">
        <f>P41+P46+P48</f>
        <v>0</v>
      </c>
      <c r="Q53" s="775">
        <f t="shared" si="6"/>
        <v>0</v>
      </c>
      <c r="R53" s="776">
        <f ca="1">R41+R46+R48</f>
        <v>87890.191828395386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0.18888862820743721</v>
      </c>
      <c r="D55" s="837">
        <f t="shared" ca="1" si="7"/>
        <v>0</v>
      </c>
      <c r="E55" s="837">
        <f t="shared" ca="1" si="7"/>
        <v>0.20199999999999996</v>
      </c>
      <c r="F55" s="837">
        <f t="shared" si="7"/>
        <v>0.22700000000000004</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2803.1050047492131</v>
      </c>
      <c r="C64" s="796">
        <f>'lokale energieproductie'!B4</f>
        <v>2803.1050047492131</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8129.629355334996</v>
      </c>
      <c r="C66" s="796">
        <f>'lokale energieproductie'!B6</f>
        <v>8129.629355334996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1845</v>
      </c>
      <c r="C68" s="795">
        <f>B68*IFERROR(SUM(J68:L68)/SUM(D68:M68),0)</f>
        <v>1845</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5220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12821.384360084208</v>
      </c>
      <c r="C69" s="804">
        <f>SUM(C64:C68)</f>
        <v>12821.384360084208</v>
      </c>
      <c r="D69" s="805">
        <f t="shared" ref="D69:M69" si="8">SUM(D67:D68)</f>
        <v>0</v>
      </c>
      <c r="E69" s="805">
        <f t="shared" si="8"/>
        <v>0</v>
      </c>
      <c r="F69" s="805">
        <f t="shared" si="8"/>
        <v>0</v>
      </c>
      <c r="G69" s="805">
        <f t="shared" si="8"/>
        <v>0</v>
      </c>
      <c r="H69" s="805">
        <f t="shared" si="8"/>
        <v>0</v>
      </c>
      <c r="I69" s="805">
        <f t="shared" si="8"/>
        <v>0</v>
      </c>
      <c r="J69" s="805">
        <f t="shared" si="8"/>
        <v>0</v>
      </c>
      <c r="K69" s="805">
        <f t="shared" si="8"/>
        <v>5271.3529411764703</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29274.485835866271</v>
      </c>
      <c r="C4" s="479">
        <f>huishoudens!C8</f>
        <v>0</v>
      </c>
      <c r="D4" s="479">
        <f>huishoudens!D8</f>
        <v>59368.418691999992</v>
      </c>
      <c r="E4" s="479">
        <f>huishoudens!E8</f>
        <v>7044.5448395868389</v>
      </c>
      <c r="F4" s="479">
        <f>huishoudens!F8</f>
        <v>10698.324793958645</v>
      </c>
      <c r="G4" s="479">
        <f>huishoudens!G8</f>
        <v>0</v>
      </c>
      <c r="H4" s="479">
        <f>huishoudens!H8</f>
        <v>0</v>
      </c>
      <c r="I4" s="479">
        <f>huishoudens!I8</f>
        <v>0</v>
      </c>
      <c r="J4" s="479">
        <f>huishoudens!J8</f>
        <v>3777.7116309995936</v>
      </c>
      <c r="K4" s="479">
        <f>huishoudens!K8</f>
        <v>0</v>
      </c>
      <c r="L4" s="479">
        <f>huishoudens!L8</f>
        <v>0</v>
      </c>
      <c r="M4" s="479">
        <f>huishoudens!M8</f>
        <v>0</v>
      </c>
      <c r="N4" s="479">
        <f>huishoudens!N8</f>
        <v>22826.688321079422</v>
      </c>
      <c r="O4" s="479">
        <f>huishoudens!O8</f>
        <v>256.38666666666671</v>
      </c>
      <c r="P4" s="480">
        <f>huishoudens!P8</f>
        <v>514.79999999999995</v>
      </c>
      <c r="Q4" s="481">
        <f>SUM(B4:P4)</f>
        <v>133761.36078015741</v>
      </c>
    </row>
    <row r="5" spans="1:17">
      <c r="A5" s="478" t="s">
        <v>156</v>
      </c>
      <c r="B5" s="479">
        <f ca="1">tertiair!B16</f>
        <v>29180.567971960856</v>
      </c>
      <c r="C5" s="479">
        <f ca="1">tertiair!C16</f>
        <v>0</v>
      </c>
      <c r="D5" s="479">
        <f ca="1">tertiair!D16</f>
        <v>18704.029849999999</v>
      </c>
      <c r="E5" s="479">
        <f>tertiair!E16</f>
        <v>263.27092774032155</v>
      </c>
      <c r="F5" s="479">
        <f ca="1">tertiair!F16</f>
        <v>4956.8055252030945</v>
      </c>
      <c r="G5" s="479">
        <f>tertiair!G16</f>
        <v>0</v>
      </c>
      <c r="H5" s="479">
        <f>tertiair!H16</f>
        <v>0</v>
      </c>
      <c r="I5" s="479">
        <f>tertiair!I16</f>
        <v>0</v>
      </c>
      <c r="J5" s="479">
        <f>tertiair!J16</f>
        <v>0</v>
      </c>
      <c r="K5" s="479">
        <f>tertiair!K16</f>
        <v>0</v>
      </c>
      <c r="L5" s="479">
        <f ca="1">tertiair!L16</f>
        <v>0</v>
      </c>
      <c r="M5" s="479">
        <f>tertiair!M16</f>
        <v>0</v>
      </c>
      <c r="N5" s="479">
        <f ca="1">tertiair!N16</f>
        <v>7024.8163180948732</v>
      </c>
      <c r="O5" s="479">
        <f>tertiair!O16</f>
        <v>3.1266666666666669</v>
      </c>
      <c r="P5" s="480">
        <f>tertiair!P16</f>
        <v>19.066666666666666</v>
      </c>
      <c r="Q5" s="478">
        <f t="shared" ref="Q5:Q13" ca="1" si="0">SUM(B5:P5)</f>
        <v>60151.683926332473</v>
      </c>
    </row>
    <row r="6" spans="1:17">
      <c r="A6" s="478" t="s">
        <v>194</v>
      </c>
      <c r="B6" s="479">
        <f>'openbare verlichting'!B8</f>
        <v>1334.204</v>
      </c>
      <c r="C6" s="479"/>
      <c r="D6" s="479"/>
      <c r="E6" s="479"/>
      <c r="F6" s="479"/>
      <c r="G6" s="479"/>
      <c r="H6" s="479"/>
      <c r="I6" s="479"/>
      <c r="J6" s="479"/>
      <c r="K6" s="479"/>
      <c r="L6" s="479"/>
      <c r="M6" s="479"/>
      <c r="N6" s="479"/>
      <c r="O6" s="479"/>
      <c r="P6" s="480"/>
      <c r="Q6" s="478">
        <f t="shared" si="0"/>
        <v>1334.204</v>
      </c>
    </row>
    <row r="7" spans="1:17">
      <c r="A7" s="478" t="s">
        <v>112</v>
      </c>
      <c r="B7" s="479">
        <f>landbouw!B8</f>
        <v>9523.4451253405987</v>
      </c>
      <c r="C7" s="479">
        <f>landbouw!C8</f>
        <v>62.357142857142847</v>
      </c>
      <c r="D7" s="479">
        <f>landbouw!D8</f>
        <v>904.50485400000002</v>
      </c>
      <c r="E7" s="479">
        <f>landbouw!E8</f>
        <v>88.210137536379946</v>
      </c>
      <c r="F7" s="479">
        <f>landbouw!F8</f>
        <v>24162.794497423693</v>
      </c>
      <c r="G7" s="479">
        <f>landbouw!G8</f>
        <v>0</v>
      </c>
      <c r="H7" s="479">
        <f>landbouw!H8</f>
        <v>0</v>
      </c>
      <c r="I7" s="479">
        <f>landbouw!I8</f>
        <v>0</v>
      </c>
      <c r="J7" s="479">
        <f>landbouw!J8</f>
        <v>1460.0504196725067</v>
      </c>
      <c r="K7" s="479">
        <f>landbouw!K8</f>
        <v>0</v>
      </c>
      <c r="L7" s="479">
        <f>landbouw!L8</f>
        <v>0</v>
      </c>
      <c r="M7" s="479">
        <f>landbouw!M8</f>
        <v>0</v>
      </c>
      <c r="N7" s="479">
        <f>landbouw!N8</f>
        <v>0</v>
      </c>
      <c r="O7" s="479">
        <f>landbouw!O8</f>
        <v>0</v>
      </c>
      <c r="P7" s="480">
        <f>landbouw!P8</f>
        <v>0</v>
      </c>
      <c r="Q7" s="478">
        <f t="shared" si="0"/>
        <v>36201.362176830327</v>
      </c>
    </row>
    <row r="8" spans="1:17">
      <c r="A8" s="478" t="s">
        <v>650</v>
      </c>
      <c r="B8" s="479">
        <f>industrie!B18</f>
        <v>18907.457999999999</v>
      </c>
      <c r="C8" s="479">
        <f>industrie!C18</f>
        <v>0</v>
      </c>
      <c r="D8" s="479">
        <f>industrie!D18</f>
        <v>11136.847875999998</v>
      </c>
      <c r="E8" s="479">
        <f>industrie!E18</f>
        <v>2963.8214864280121</v>
      </c>
      <c r="F8" s="479">
        <f>industrie!F18</f>
        <v>18943.30596280055</v>
      </c>
      <c r="G8" s="479">
        <f>industrie!G18</f>
        <v>0</v>
      </c>
      <c r="H8" s="479">
        <f>industrie!H18</f>
        <v>0</v>
      </c>
      <c r="I8" s="479">
        <f>industrie!I18</f>
        <v>0</v>
      </c>
      <c r="J8" s="479">
        <f>industrie!J18</f>
        <v>126.46700191062672</v>
      </c>
      <c r="K8" s="479">
        <f>industrie!K18</f>
        <v>0</v>
      </c>
      <c r="L8" s="479">
        <f>industrie!L18</f>
        <v>0</v>
      </c>
      <c r="M8" s="479">
        <f>industrie!M18</f>
        <v>0</v>
      </c>
      <c r="N8" s="479">
        <f>industrie!N18</f>
        <v>6318.352947842006</v>
      </c>
      <c r="O8" s="479">
        <f>industrie!O18</f>
        <v>0</v>
      </c>
      <c r="P8" s="480">
        <f>industrie!P18</f>
        <v>0</v>
      </c>
      <c r="Q8" s="478">
        <f t="shared" si="0"/>
        <v>58396.253274981194</v>
      </c>
    </row>
    <row r="9" spans="1:17" s="484" customFormat="1">
      <c r="A9" s="482" t="s">
        <v>571</v>
      </c>
      <c r="B9" s="483">
        <f>transport!B14</f>
        <v>20.415080930646603</v>
      </c>
      <c r="C9" s="483">
        <f>transport!C14</f>
        <v>0</v>
      </c>
      <c r="D9" s="483">
        <f>transport!D14</f>
        <v>52.610216268539759</v>
      </c>
      <c r="E9" s="483">
        <f>transport!E14</f>
        <v>336.34203089560322</v>
      </c>
      <c r="F9" s="483">
        <f>transport!F14</f>
        <v>0</v>
      </c>
      <c r="G9" s="483">
        <f>transport!G14</f>
        <v>103120.89349978053</v>
      </c>
      <c r="H9" s="483">
        <f>transport!H14</f>
        <v>19915.450137901302</v>
      </c>
      <c r="I9" s="483">
        <f>transport!I14</f>
        <v>0</v>
      </c>
      <c r="J9" s="483">
        <f>transport!J14</f>
        <v>0</v>
      </c>
      <c r="K9" s="483">
        <f>transport!K14</f>
        <v>0</v>
      </c>
      <c r="L9" s="483">
        <f>transport!L14</f>
        <v>0</v>
      </c>
      <c r="M9" s="483">
        <f>transport!M14</f>
        <v>6578.1465125424475</v>
      </c>
      <c r="N9" s="483">
        <f>transport!N14</f>
        <v>0</v>
      </c>
      <c r="O9" s="483">
        <f>transport!O14</f>
        <v>0</v>
      </c>
      <c r="P9" s="483">
        <f>transport!P14</f>
        <v>0</v>
      </c>
      <c r="Q9" s="482">
        <f>SUM(B9:P9)</f>
        <v>130023.85747831906</v>
      </c>
    </row>
    <row r="10" spans="1:17">
      <c r="A10" s="478" t="s">
        <v>561</v>
      </c>
      <c r="B10" s="479">
        <f>transport!B54</f>
        <v>0</v>
      </c>
      <c r="C10" s="479">
        <f>transport!C54</f>
        <v>0</v>
      </c>
      <c r="D10" s="479">
        <f>transport!D54</f>
        <v>0</v>
      </c>
      <c r="E10" s="479">
        <f>transport!E54</f>
        <v>0</v>
      </c>
      <c r="F10" s="479">
        <f>transport!F54</f>
        <v>0</v>
      </c>
      <c r="G10" s="479">
        <f>transport!G54</f>
        <v>1874.4906438290047</v>
      </c>
      <c r="H10" s="479">
        <f>transport!H54</f>
        <v>0</v>
      </c>
      <c r="I10" s="479">
        <f>transport!I54</f>
        <v>0</v>
      </c>
      <c r="J10" s="479">
        <f>transport!J54</f>
        <v>0</v>
      </c>
      <c r="K10" s="479">
        <f>transport!K54</f>
        <v>0</v>
      </c>
      <c r="L10" s="479">
        <f>transport!L54</f>
        <v>0</v>
      </c>
      <c r="M10" s="479">
        <f>transport!M54</f>
        <v>106.89673698215397</v>
      </c>
      <c r="N10" s="479">
        <f>transport!N54</f>
        <v>0</v>
      </c>
      <c r="O10" s="479">
        <f>transport!O54</f>
        <v>0</v>
      </c>
      <c r="P10" s="480">
        <f>transport!P54</f>
        <v>0</v>
      </c>
      <c r="Q10" s="478">
        <f t="shared" si="0"/>
        <v>1981.3873808111587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88240.576014098362</v>
      </c>
      <c r="C14" s="489">
        <f t="shared" ref="C14:Q14" ca="1" si="1">SUM(C4:C13)</f>
        <v>62.357142857142847</v>
      </c>
      <c r="D14" s="489">
        <f t="shared" ca="1" si="1"/>
        <v>90166.411488268539</v>
      </c>
      <c r="E14" s="489">
        <f t="shared" si="1"/>
        <v>10696.189422187155</v>
      </c>
      <c r="F14" s="489">
        <f t="shared" ca="1" si="1"/>
        <v>58761.230779385987</v>
      </c>
      <c r="G14" s="489">
        <f t="shared" si="1"/>
        <v>104995.38414360954</v>
      </c>
      <c r="H14" s="489">
        <f t="shared" si="1"/>
        <v>19915.450137901302</v>
      </c>
      <c r="I14" s="489">
        <f t="shared" si="1"/>
        <v>0</v>
      </c>
      <c r="J14" s="489">
        <f t="shared" si="1"/>
        <v>5364.2290525827275</v>
      </c>
      <c r="K14" s="489">
        <f t="shared" si="1"/>
        <v>0</v>
      </c>
      <c r="L14" s="489">
        <f t="shared" ca="1" si="1"/>
        <v>0</v>
      </c>
      <c r="M14" s="489">
        <f t="shared" si="1"/>
        <v>6685.0432495246014</v>
      </c>
      <c r="N14" s="489">
        <f t="shared" ca="1" si="1"/>
        <v>36169.857587016304</v>
      </c>
      <c r="O14" s="489">
        <f t="shared" si="1"/>
        <v>259.51333333333338</v>
      </c>
      <c r="P14" s="490">
        <f t="shared" si="1"/>
        <v>533.86666666666667</v>
      </c>
      <c r="Q14" s="490">
        <f t="shared" ca="1" si="1"/>
        <v>421850.10901743162</v>
      </c>
    </row>
    <row r="16" spans="1:17">
      <c r="A16" s="492" t="s">
        <v>566</v>
      </c>
      <c r="B16" s="842">
        <f ca="1">huishoudens!B10</f>
        <v>0.18888862820743724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5529.6174710148316</v>
      </c>
      <c r="C21" s="479">
        <f t="shared" ref="C21:C30" ca="1" si="3">C4*$C$16</f>
        <v>0</v>
      </c>
      <c r="D21" s="479">
        <f t="shared" ref="D21:D30" si="4">D4*$D$16</f>
        <v>11992.420575783999</v>
      </c>
      <c r="E21" s="479">
        <f t="shared" ref="E21:E30" si="5">E4*$E$16</f>
        <v>1599.1116785862125</v>
      </c>
      <c r="F21" s="479">
        <f t="shared" ref="F21:F30" si="6">F4*$F$16</f>
        <v>2856.4527199869585</v>
      </c>
      <c r="G21" s="479">
        <f t="shared" ref="G21:G30" si="7">G4*$G$16</f>
        <v>0</v>
      </c>
      <c r="H21" s="479">
        <f t="shared" ref="H21:H30" si="8">H4*$H$16</f>
        <v>0</v>
      </c>
      <c r="I21" s="479">
        <f t="shared" ref="I21:I30" si="9">I4*$I$16</f>
        <v>0</v>
      </c>
      <c r="J21" s="479">
        <f t="shared" ref="J21:J30" si="10">J4*$J$16</f>
        <v>1337.309917373856</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23314.912362745858</v>
      </c>
    </row>
    <row r="22" spans="1:17">
      <c r="A22" s="478" t="s">
        <v>156</v>
      </c>
      <c r="B22" s="479">
        <f t="shared" ca="1" si="2"/>
        <v>5511.8774545375645</v>
      </c>
      <c r="C22" s="479">
        <f t="shared" ca="1" si="3"/>
        <v>0</v>
      </c>
      <c r="D22" s="479">
        <f t="shared" ca="1" si="4"/>
        <v>3778.2140297000001</v>
      </c>
      <c r="E22" s="479">
        <f t="shared" si="5"/>
        <v>59.762500597052991</v>
      </c>
      <c r="F22" s="479">
        <f t="shared" ca="1" si="6"/>
        <v>1323.4670752292263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10673.321060063843</v>
      </c>
    </row>
    <row r="23" spans="1:17">
      <c r="A23" s="478" t="s">
        <v>194</v>
      </c>
      <c r="B23" s="479">
        <f t="shared" ca="1" si="2"/>
        <v>252.01596330887557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252.01596330887557</v>
      </c>
    </row>
    <row r="24" spans="1:17">
      <c r="A24" s="478" t="s">
        <v>112</v>
      </c>
      <c r="B24" s="479">
        <f t="shared" ca="1" si="2"/>
        <v>1798.8704855343908</v>
      </c>
      <c r="C24" s="479">
        <f t="shared" ca="1" si="3"/>
        <v>0</v>
      </c>
      <c r="D24" s="479">
        <f t="shared" si="4"/>
        <v>182.70998050800003</v>
      </c>
      <c r="E24" s="479">
        <f t="shared" si="5"/>
        <v>20.023701220758248</v>
      </c>
      <c r="F24" s="479">
        <f t="shared" si="6"/>
        <v>6451.4661308121267</v>
      </c>
      <c r="G24" s="479">
        <f t="shared" si="7"/>
        <v>0</v>
      </c>
      <c r="H24" s="479">
        <f t="shared" si="8"/>
        <v>0</v>
      </c>
      <c r="I24" s="479">
        <f t="shared" si="9"/>
        <v>0</v>
      </c>
      <c r="J24" s="479">
        <f t="shared" si="10"/>
        <v>516.85784856406735</v>
      </c>
      <c r="K24" s="479">
        <f t="shared" si="11"/>
        <v>0</v>
      </c>
      <c r="L24" s="479">
        <f t="shared" si="12"/>
        <v>0</v>
      </c>
      <c r="M24" s="479">
        <f t="shared" si="13"/>
        <v>0</v>
      </c>
      <c r="N24" s="479">
        <f t="shared" si="14"/>
        <v>0</v>
      </c>
      <c r="O24" s="479">
        <f t="shared" si="15"/>
        <v>0</v>
      </c>
      <c r="P24" s="480">
        <f t="shared" si="16"/>
        <v>0</v>
      </c>
      <c r="Q24" s="478">
        <f t="shared" ca="1" si="17"/>
        <v>8969.928146639344</v>
      </c>
    </row>
    <row r="25" spans="1:17">
      <c r="A25" s="478" t="s">
        <v>650</v>
      </c>
      <c r="B25" s="479">
        <f t="shared" ca="1" si="2"/>
        <v>3571.4038045097345</v>
      </c>
      <c r="C25" s="479">
        <f t="shared" ca="1" si="3"/>
        <v>0</v>
      </c>
      <c r="D25" s="479">
        <f t="shared" si="4"/>
        <v>2249.6432709519995</v>
      </c>
      <c r="E25" s="479">
        <f t="shared" si="5"/>
        <v>672.78747741915879</v>
      </c>
      <c r="F25" s="479">
        <f t="shared" si="6"/>
        <v>5057.862692067747</v>
      </c>
      <c r="G25" s="479">
        <f t="shared" si="7"/>
        <v>0</v>
      </c>
      <c r="H25" s="479">
        <f t="shared" si="8"/>
        <v>0</v>
      </c>
      <c r="I25" s="479">
        <f t="shared" si="9"/>
        <v>0</v>
      </c>
      <c r="J25" s="479">
        <f t="shared" si="10"/>
        <v>44.769318676361856</v>
      </c>
      <c r="K25" s="479">
        <f t="shared" si="11"/>
        <v>0</v>
      </c>
      <c r="L25" s="479">
        <f t="shared" si="12"/>
        <v>0</v>
      </c>
      <c r="M25" s="479">
        <f t="shared" si="13"/>
        <v>0</v>
      </c>
      <c r="N25" s="479">
        <f t="shared" si="14"/>
        <v>0</v>
      </c>
      <c r="O25" s="479">
        <f t="shared" si="15"/>
        <v>0</v>
      </c>
      <c r="P25" s="480">
        <f t="shared" si="16"/>
        <v>0</v>
      </c>
      <c r="Q25" s="478">
        <f t="shared" ca="1" si="17"/>
        <v>11596.466563625003</v>
      </c>
    </row>
    <row r="26" spans="1:17" s="484" customFormat="1">
      <c r="A26" s="482" t="s">
        <v>571</v>
      </c>
      <c r="B26" s="836">
        <f t="shared" ca="1" si="2"/>
        <v>3.8561766317336481</v>
      </c>
      <c r="C26" s="483">
        <f t="shared" ca="1" si="3"/>
        <v>0</v>
      </c>
      <c r="D26" s="483">
        <f t="shared" si="4"/>
        <v>10.627263686245032</v>
      </c>
      <c r="E26" s="483">
        <f t="shared" si="5"/>
        <v>76.349641013301934</v>
      </c>
      <c r="F26" s="483">
        <f t="shared" si="6"/>
        <v>0</v>
      </c>
      <c r="G26" s="483">
        <f t="shared" si="7"/>
        <v>27533.278564441403</v>
      </c>
      <c r="H26" s="483">
        <f t="shared" si="8"/>
        <v>4958.9470843374238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32583.058730110111</v>
      </c>
    </row>
    <row r="27" spans="1:17">
      <c r="A27" s="478" t="s">
        <v>561</v>
      </c>
      <c r="B27" s="479">
        <f t="shared" ca="1" si="2"/>
        <v>0</v>
      </c>
      <c r="C27" s="479">
        <f t="shared" ca="1" si="3"/>
        <v>0</v>
      </c>
      <c r="D27" s="479">
        <f t="shared" si="4"/>
        <v>0</v>
      </c>
      <c r="E27" s="479">
        <f t="shared" si="5"/>
        <v>0</v>
      </c>
      <c r="F27" s="479">
        <f t="shared" si="6"/>
        <v>0</v>
      </c>
      <c r="G27" s="479">
        <f t="shared" si="7"/>
        <v>500.48900190234428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500.48900190234428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16667.641355537129</v>
      </c>
      <c r="C31" s="489">
        <f t="shared" ca="1" si="18"/>
        <v>0</v>
      </c>
      <c r="D31" s="489">
        <f t="shared" ca="1" si="18"/>
        <v>18213.615120630242</v>
      </c>
      <c r="E31" s="489">
        <f t="shared" si="18"/>
        <v>2428.0349988364846</v>
      </c>
      <c r="F31" s="489">
        <f t="shared" ca="1" si="18"/>
        <v>15689.248618096059</v>
      </c>
      <c r="G31" s="489">
        <f t="shared" si="18"/>
        <v>28033.767566343748</v>
      </c>
      <c r="H31" s="489">
        <f t="shared" si="18"/>
        <v>4958.9470843374238</v>
      </c>
      <c r="I31" s="489">
        <f t="shared" si="18"/>
        <v>0</v>
      </c>
      <c r="J31" s="489">
        <f t="shared" si="18"/>
        <v>1898.9370846142851</v>
      </c>
      <c r="K31" s="489">
        <f t="shared" si="18"/>
        <v>0</v>
      </c>
      <c r="L31" s="489">
        <f t="shared" ca="1" si="18"/>
        <v>0</v>
      </c>
      <c r="M31" s="489">
        <f t="shared" si="18"/>
        <v>0</v>
      </c>
      <c r="N31" s="489">
        <f t="shared" ca="1" si="18"/>
        <v>0</v>
      </c>
      <c r="O31" s="489">
        <f t="shared" si="18"/>
        <v>0</v>
      </c>
      <c r="P31" s="490">
        <f t="shared" si="18"/>
        <v>0</v>
      </c>
      <c r="Q31" s="490">
        <f t="shared" ca="1" si="18"/>
        <v>87890.191828395386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0.18888862820743724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0.18888862820743724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0.18888862820743724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2018-06-27T09:36:26Z</dcterms:modified>
</cp:coreProperties>
</file>