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O8" i="48"/>
  <c r="O25"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O31"/>
  <c r="F18" i="16"/>
  <c r="G13" i="14" s="1"/>
  <c r="G15" s="1"/>
  <c r="G23" s="1"/>
  <c r="M16" i="18"/>
  <c r="M19" s="1"/>
  <c r="K10" i="14"/>
  <c r="R10" s="1"/>
  <c r="J18" i="16"/>
  <c r="J22" s="1"/>
  <c r="K39" i="14" s="1"/>
  <c r="K41" s="1"/>
  <c r="K53" s="1"/>
  <c r="Q7" i="48"/>
  <c r="E8"/>
  <c r="E25" s="1"/>
  <c r="E31" s="1"/>
  <c r="E18" i="16"/>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E14" i="48"/>
  <c r="Q4"/>
  <c r="N22"/>
  <c r="R11" i="14"/>
  <c r="J21" i="48"/>
  <c r="C17" i="19" l="1"/>
  <c r="C19" s="1"/>
  <c r="D35" i="14" s="1"/>
  <c r="C20" i="16"/>
  <c r="C22" s="1"/>
  <c r="D39" i="14" s="1"/>
  <c r="C18" i="15"/>
  <c r="C20" s="1"/>
  <c r="D36" i="14" s="1"/>
  <c r="C17" i="49"/>
  <c r="C29" i="20"/>
  <c r="C10" i="13"/>
  <c r="C16" i="48" s="1"/>
  <c r="C30" s="1"/>
  <c r="C16" i="22"/>
  <c r="C10" i="17"/>
  <c r="C12" s="1"/>
  <c r="D48" i="14" s="1"/>
  <c r="C56" i="22"/>
  <c r="C58" s="1"/>
  <c r="D44" i="14" s="1"/>
  <c r="D46" s="1"/>
  <c r="N31" i="48"/>
  <c r="N14"/>
  <c r="O13" i="14"/>
  <c r="O15" s="1"/>
  <c r="K13"/>
  <c r="F8" i="48"/>
  <c r="K15" i="14"/>
  <c r="K23" s="1"/>
  <c r="K55" s="1"/>
  <c r="H55"/>
  <c r="E55"/>
  <c r="C78"/>
  <c r="C81" s="1"/>
  <c r="J14" i="48"/>
  <c r="J31"/>
  <c r="Q8"/>
  <c r="Q14" s="1"/>
  <c r="R19" i="14"/>
  <c r="R20" s="1"/>
  <c r="H14" i="48"/>
  <c r="G31"/>
  <c r="H26"/>
  <c r="H31" s="1"/>
  <c r="F55" i="14"/>
  <c r="O53"/>
  <c r="G53"/>
  <c r="G55" s="1"/>
  <c r="O69" s="1"/>
  <c r="B9" i="6" s="1"/>
  <c r="B12" s="1"/>
  <c r="M53" i="14"/>
  <c r="M55" s="1"/>
  <c r="C12" i="13"/>
  <c r="D37" i="14" s="1"/>
  <c r="C23" i="48"/>
  <c r="C24"/>
  <c r="C27"/>
  <c r="C28"/>
  <c r="C22"/>
  <c r="C25"/>
  <c r="C29"/>
  <c r="C21"/>
  <c r="C26"/>
  <c r="R13" i="14"/>
  <c r="R15" s="1"/>
  <c r="F25" i="48"/>
  <c r="F31" s="1"/>
  <c r="F14"/>
  <c r="D41"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<sst xmlns="http://schemas.openxmlformats.org/spreadsheetml/2006/main" count="1968" uniqueCount="843">
  <si>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</si>
  <si>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</si>
  <si>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</si>
  <si>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</si>
  <si>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</si>
  <si>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</si>
  <si>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</si>
  <si>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</si>
  <si>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</si>
  <si>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</si>
  <si>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</si>
  <si>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</si>
  <si>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</si>
  <si>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</si>
  <si>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</si>
  <si>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</si>
  <si>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</si>
  <si>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</si>
  <si>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</si>
  <si>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</si>
  <si>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</si>
  <si>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</si>
  <si>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</si>
  <si>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</si>
  <si>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</si>
  <si>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</si>
  <si>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</si>
  <si>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</si>
  <si>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</si>
  <si>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</si>
  <si>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</si>
  <si>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</si>
  <si>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</si>
  <si>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</si>
  <si>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</si>
  <si>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</si>
  <si>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</si>
  <si>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</si>
  <si>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</si>
  <si>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</si>
  <si>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</si>
  <si>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</si>
  <si>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</si>
  <si>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</si>
  <si>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</si>
  <si>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</si>
  <si>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</si>
  <si>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</si>
  <si>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</si>
  <si>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</si>
  <si>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</si>
  <si>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</si>
  <si>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</si>
  <si>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</si>
  <si>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</si>
  <si>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</si>
  <si>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</si>
  <si>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</si>
  <si>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</si>
  <si>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</si>
  <si>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</si>
  <si>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</si>
  <si>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</si>
  <si>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</si>
  <si>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</si>
  <si>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</si>
  <si>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</si>
  <si>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</si>
  <si>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</si>
  <si>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</si>
  <si>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</si>
  <si>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</si>
  <si>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</si>
  <si>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</si>
  <si>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</si>
  <si>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</si>
  <si>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</si>
  <si>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</si>
  <si>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</si>
  <si>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</si>
  <si>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</si>
  <si>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</si>
  <si>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</si>
  <si>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</si>
  <si>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</si>
  <si>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</si>
  <si>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</si>
  <si>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</si>
  <si>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</si>
  <si>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</si>
  <si>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</si>
  <si>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</si>
  <si>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</si>
  <si>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</si>
  <si>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</si>
  <si>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</si>
  <si>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</si>
  <si>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</si>
  <si>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</si>
  <si>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</si>
  <si>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</si>
  <si>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</si>
  <si>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</si>
  <si>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</si>
  <si>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</si>
  <si>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</si>
  <si>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</si>
  <si>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</si>
  <si>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</si>
  <si>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</si>
  <si>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</si>
  <si>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</si>
  <si>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</si>
  <si>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</si>
  <si>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</si>
  <si>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</si>
  <si>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</si>
  <si>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</si>
  <si>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</si>
  <si>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</si>
  <si>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</si>
  <si>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</si>
  <si>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</si>
  <si>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</si>
  <si>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</si>
  <si>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</si>
  <si>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</si>
  <si>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</si>
  <si>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</si>
  <si>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</si>
  <si>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</si>
  <si>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</si>
  <si>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</si>
  <si>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</si>
  <si>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</si>
  <si>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</si>
  <si>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</si>
  <si>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</si>
  <si>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</si>
  <si>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</si>
  <si>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</si>
  <si>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</si>
  <si>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</si>
  <si>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</si>
  <si>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</si>
  <si>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</si>
  <si>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</si>
  <si>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</si>
  <si>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</si>
  <si>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</si>
  <si>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</si>
  <si>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</si>
  <si>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</si>
  <si>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</si>
  <si>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</si>
  <si>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</si>
  <si>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</si>
  <si>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</si>
  <si>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</si>
  <si>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</si>
  <si>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</si>
  <si>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</si>
  <si>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</si>
  <si>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</si>
  <si>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</si>
  <si>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</si>
  <si>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</si>
  <si>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</si>
  <si>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</si>
  <si>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</si>
  <si>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</si>
  <si>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</si>
  <si>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</si>
  <si>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</si>
  <si>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</si>
  <si>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</si>
  <si>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</si>
  <si>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</si>
  <si>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</si>
  <si>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</si>
  <si>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</si>
  <si>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</si>
  <si>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</si>
  <si>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</si>
  <si>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</si>
  <si>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</si>
  <si>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</si>
  <si>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</si>
  <si>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</si>
  <si>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</si>
  <si>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</si>
  <si>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</si>
  <si>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</si>
  <si>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</si>
  <si>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</si>
  <si>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</si>
  <si>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</si>
  <si>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</si>
  <si>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</si>
  <si>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</si>
  <si>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</si>
  <si>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</si>
  <si>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</si>
  <si>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</si>
  <si>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</si>
  <si>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</si>
  <si>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</si>
  <si>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</si>
  <si>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</si>
  <si>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</si>
  <si>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</si>
  <si>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</si>
  <si>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</si>
  <si>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</si>
  <si>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</si>
  <si>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</si>
  <si>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</si>
  <si>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</si>
  <si>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</si>
  <si>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</si>
  <si>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</si>
  <si>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</si>
  <si>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</si>
  <si>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</si>
  <si>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</si>
  <si>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</si>
  <si>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</si>
  <si>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</si>
  <si>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</si>
  <si>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</si>
  <si>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</si>
  <si>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</si>
  <si>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</si>
  <si>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</si>
  <si>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</si>
  <si>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</si>
  <si>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</si>
  <si>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</si>
  <si>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</si>
  <si>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</si>
  <si>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</si>
  <si>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</si>
  <si>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</si>
  <si>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</si>
  <si>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</si>
  <si>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</si>
  <si>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</si>
  <si>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</si>
  <si>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</si>
  <si>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</si>
  <si>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</si>
  <si>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</si>
  <si>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</si>
  <si>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</si>
  <si>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</si>
  <si>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</si>
  <si>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</si>
  <si>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</si>
  <si>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</si>
  <si>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</si>
  <si>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</si>
  <si>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</si>
  <si>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</si>
  <si>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</si>
  <si>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</si>
  <si>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</si>
  <si>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</si>
  <si>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</si>
  <si>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</si>
  <si>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</si>
  <si>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</si>
  <si>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</si>
  <si>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</si>
  <si>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</si>
  <si>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</si>
  <si>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</si>
  <si>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</si>
  <si>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</si>
  <si>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</si>
  <si>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</si>
  <si>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</si>
  <si>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</si>
  <si>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</si>
  <si>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</si>
  <si>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</si>
  <si>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</si>
  <si>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</si>
  <si>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</si>
  <si>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</si>
  <si>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</si>
  <si>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</si>
  <si>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</si>
  <si>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</si>
  <si>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</si>
  <si>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</si>
  <si>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</si>
  <si>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</si>
  <si>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</si>
  <si>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</si>
  <si>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</si>
  <si>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</si>
  <si>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</si>
  <si>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</si>
  <si>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</si>
  <si>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</si>
  <si>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</si>
  <si>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</si>
  <si>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</si>
  <si>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</si>
  <si>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</si>
  <si>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</si>
  <si>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</si>
  <si>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</si>
  <si>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</si>
  <si>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</si>
  <si>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</si>
  <si>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</si>
  <si>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</si>
  <si>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</si>
  <si>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</si>
  <si>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</si>
  <si>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</si>
  <si>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</si>
  <si>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</si>
  <si>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</si>
  <si>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</si>
  <si>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</si>
  <si>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</si>
  <si>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</si>
  <si>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</si>
  <si>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</si>
  <si>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</si>
  <si>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</si>
  <si>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</si>
  <si>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</si>
  <si>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</si>
  <si>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</si>
  <si>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</si>
  <si>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</si>
  <si>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</si>
  <si>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</si>
  <si>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</si>
  <si>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</si>
  <si>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</si>
  <si>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</si>
  <si>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</si>
  <si>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</si>
  <si>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</si>
  <si>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</si>
  <si>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</si>
  <si>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</si>
  <si>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</si>
  <si>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</si>
  <si>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</si>
  <si>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</si>
  <si>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</si>
  <si>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</si>
  <si>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</si>
  <si>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</si>
  <si>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</si>
  <si>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</si>
  <si>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</si>
  <si>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</si>
  <si>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</si>
  <si>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</si>
  <si>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</si>
  <si>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</si>
  <si>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</si>
  <si>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</si>
  <si>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</si>
  <si>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</si>
  <si>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</si>
  <si>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</si>
  <si>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</si>
  <si>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</si>
  <si>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</si>
  <si>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</si>
  <si>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</si>
  <si>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</si>
  <si>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</si>
  <si>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</si>
  <si>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</si>
  <si>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</si>
  <si>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</si>
  <si>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</si>
  <si>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</si>
  <si>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</si>
  <si>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</si>
  <si>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</si>
  <si>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</si>
  <si>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</si>
  <si>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</si>
  <si>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</si>
  <si>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</si>
  <si>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</si>
  <si>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</si>
  <si>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</si>
  <si>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</si>
  <si>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</si>
  <si>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</si>
  <si>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</si>
  <si>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</si>
  <si>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</si>
  <si>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</si>
  <si>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</si>
  <si>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</si>
  <si>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</si>
  <si>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</si>
  <si>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</si>
  <si>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</si>
  <si>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</si>
  <si>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</si>
  <si>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</si>
  <si>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</si>
  <si>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</si>
  <si>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</si>
  <si>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</si>
  <si>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</si>
  <si>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</si>
  <si>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</si>
  <si>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</si>
  <si>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</si>
  <si>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</si>
  <si>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</si>
  <si>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</si>
  <si>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</si>
  <si>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</si>
  <si>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</si>
  <si>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</si>
  <si>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</si>
  <si>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</si>
  <si>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</si>
  <si>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</si>
  <si>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</si>
  <si>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</si>
  <si>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</si>
  <si>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</si>
  <si>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</si>
  <si>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</si>
  <si>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</si>
  <si>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</si>
  <si>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</si>
  <si>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</si>
  <si>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</si>
  <si>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</si>
  <si>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</si>
  <si>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</si>
  <si>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</si>
  <si>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</si>
  <si>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</si>
  <si>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</si>
  <si>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</si>
  <si>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</si>
  <si>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</si>
  <si>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</si>
  <si>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</si>
  <si>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</si>
  <si>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</si>
  <si>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</si>
  <si>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</si>
  <si>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</si>
  <si>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</si>
  <si>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</si>
  <si>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</si>
  <si>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</si>
  <si>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</si>
  <si>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</si>
  <si>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</si>
  <si>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</si>
  <si>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</si>
  <si>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</si>
  <si>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</si>
  <si>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</si>
  <si>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</si>
  <si>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</si>
  <si>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</si>
  <si>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</si>
  <si>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</si>
  <si>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</si>
  <si>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</si>
  <si>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</si>
  <si>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</si>
  <si>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</si>
  <si>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</si>
  <si>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</si>
  <si>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</si>
  <si>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</si>
  <si>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</si>
  <si>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</si>
  <si>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</si>
  <si>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</si>
  <si>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</si>
  <si>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</si>
  <si>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</si>
  <si>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</si>
  <si>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</si>
  <si>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</si>
  <si>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</si>
  <si>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</si>
  <si>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</si>
  <si>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</si>
  <si>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</si>
  <si>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</si>
  <si>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</si>
  <si>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</si>
  <si>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</si>
  <si>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</si>
  <si>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</si>
  <si>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</si>
  <si>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</si>
  <si>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</si>
  <si>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</si>
  <si>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</si>
  <si>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</si>
  <si>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</si>
  <si>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</si>
  <si>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</si>
  <si>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</si>
  <si>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</si>
  <si>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</si>
  <si>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</si>
  <si>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</si>
  <si>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</si>
  <si>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</si>
  <si>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</si>
  <si>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</si>
  <si>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</si>
  <si>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</si>
  <si>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</si>
  <si>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</si>
  <si>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</si>
  <si>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</si>
  <si>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</si>
  <si>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</si>
  <si>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</si>
  <si>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</si>
  <si>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</si>
  <si>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</si>
  <si>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</si>
  <si>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</si>
  <si>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</si>
  <si>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</si>
  <si>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</si>
  <si>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</si>
  <si>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</si>
  <si>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</si>
  <si>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</si>
  <si>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</si>
  <si>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</si>
  <si>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</si>
  <si>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</si>
  <si>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</si>
  <si>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</si>
  <si>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</si>
  <si>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</si>
  <si>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</si>
  <si>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</si>
  <si>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</si>
  <si>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</si>
  <si>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</si>
  <si>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</si>
  <si>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</si>
  <si>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</si>
  <si>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</si>
  <si>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</si>
  <si>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</si>
  <si>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</si>
  <si>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</si>
  <si>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</si>
  <si>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</si>
  <si>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</si>
  <si>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</si>
  <si>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</si>
  <si>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</si>
  <si>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</si>
  <si>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</si>
  <si>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</si>
  <si>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</si>
  <si>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</si>
  <si>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</si>
  <si>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</si>
  <si>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</si>
  <si>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</si>
  <si>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</si>
  <si>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</si>
  <si>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</si>
  <si>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</si>
  <si>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</si>
  <si>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</si>
  <si>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</si>
  <si>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</si>
  <si>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</si>
  <si>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</si>
  <si>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</si>
  <si>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</si>
  <si>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</si>
  <si>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</si>
  <si>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</si>
  <si>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</si>
  <si>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</si>
  <si>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</si>
  <si>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</si>
  <si>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</si>
  <si>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</si>
  <si>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</si>
  <si>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</si>
  <si>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</si>
  <si>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</si>
  <si>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</si>
  <si>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</si>
  <si>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</si>
  <si>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</si>
  <si>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</si>
  <si>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</si>
  <si>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</si>
  <si>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</si>
  <si>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</si>
  <si>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</si>
  <si>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</si>
  <si>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</si>
  <si>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</si>
  <si>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</si>
  <si>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</si>
  <si>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</si>
  <si>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</si>
  <si>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</si>
  <si>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</si>
  <si>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</si>
  <si>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</si>
  <si>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</si>
  <si>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</si>
  <si>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</si>
  <si>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</si>
  <si>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</si>
  <si>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</si>
  <si>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</si>
  <si>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</si>
  <si>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</si>
  <si>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</si>
  <si>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</si>
  <si>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</si>
  <si>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</si>
  <si>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</si>
  <si>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</si>
  <si>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</si>
  <si>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</si>
  <si>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</si>
  <si>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</si>
  <si>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</si>
  <si>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</si>
  <si>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</si>
  <si>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</si>
  <si>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</si>
  <si>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</si>
  <si>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</si>
  <si>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</si>
  <si>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</si>
  <si>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</si>
  <si>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</si>
  <si>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</si>
  <si>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</si>
  <si>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</si>
  <si>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</si>
  <si>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</si>
  <si>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</si>
  <si>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</si>
  <si>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</si>
  <si>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</si>
  <si>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</si>
  <si>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</si>
  <si>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</si>
  <si>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</si>
  <si>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</si>
  <si>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</si>
  <si>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</si>
  <si>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</si>
  <si>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</si>
  <si>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</si>
  <si>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</si>
  <si>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</si>
  <si>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</si>
  <si>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</si>
  <si>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</si>
  <si>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</si>
  <si>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</si>
  <si>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</si>
  <si>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</si>
  <si>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</si>
  <si>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</si>
  <si>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</si>
  <si>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</si>
  <si>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</si>
  <si>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</si>
  <si>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</si>
  <si>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</si>
  <si>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</si>
  <si>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</si>
  <si>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</si>
  <si>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</si>
  <si>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</si>
  <si>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</si>
  <si>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</si>
  <si>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</si>
  <si>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</si>
  <si>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</si>
  <si>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</si>
  <si>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</si>
  <si>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</si>
  <si>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</si>
  <si>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</si>
  <si>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</si>
  <si>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</si>
  <si>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</si>
  <si>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</si>
  <si>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</si>
  <si>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</si>
  <si>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</si>
  <si>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</si>
  <si>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</si>
  <si>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</si>
  <si>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</si>
  <si>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</si>
  <si>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</si>
  <si>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</si>
  <si>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</si>
  <si>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</si>
  <si>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</si>
  <si>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</si>
  <si>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</si>
  <si>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</si>
  <si>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</si>
  <si>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</si>
  <si>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</si>
  <si>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</si>
  <si>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</si>
  <si>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</si>
  <si>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</si>
  <si>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</si>
  <si>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</si>
  <si>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</si>
  <si>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</si>
  <si>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</si>
  <si>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</si>
  <si>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</si>
  <si>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</si>
  <si>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</si>
  <si>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</si>
  <si>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</si>
  <si>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</si>
  <si>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</si>
  <si>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</si>
  <si>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</si>
  <si>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</si>
  <si>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</si>
  <si>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</si>
  <si>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</si>
  <si>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</si>
  <si>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</si>
  <si>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</si>
  <si>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</si>
  <si>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</si>
  <si>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</si>
  <si>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</si>
  <si>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</si>
  <si>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</si>
  <si>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</si>
  <si>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</si>
  <si>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</si>
  <si>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</si>
  <si>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</si>
  <si>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</si>
  <si>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</si>
  <si>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</si>
  <si>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</si>
  <si>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</si>
  <si>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</si>
  <si>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</si>
  <si>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</si>
  <si>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</si>
  <si>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</si>
  <si>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</si>
  <si>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</si>
  <si>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</si>
  <si>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</si>
  <si>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</si>
  <si>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</si>
  <si>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</si>
  <si>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</si>
  <si>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</si>
  <si>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</si>
  <si>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</si>
  <si>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</si>
  <si>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</si>
  <si>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</si>
  <si>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</si>
  <si>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</si>
  <si>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</si>
  <si>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</si>
  <si>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</si>
  <si>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</si>
  <si>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</si>
  <si>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</si>
  <si>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</si>
  <si>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</si>
  <si>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</si>
  <si>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</si>
  <si>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</si>
  <si>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</si>
  <si>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</si>
  <si>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</si>
  <si>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</si>
  <si>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</si>
  <si>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</si>
  <si>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</si>
  <si>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</si>
  <si>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</si>
  <si>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</si>
  <si>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</si>
  <si>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</si>
  <si>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</si>
  <si>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</si>
  <si>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</si>
  <si>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</si>
  <si>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</si>
  <si>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</si>
  <si>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</si>
  <si>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31040</t>
  </si>
  <si>
    <t>ZEDELGEM</t>
  </si>
  <si>
    <t>Paarden&amp;pony's 200 - 600 kg</t>
  </si>
  <si>
    <t>Paarden&amp;pony's &lt; 200 kg</t>
  </si>
  <si>
    <t>referentietaak LNE (2017); Jaarverslag De Lijn (2014)</t>
  </si>
  <si>
    <t>op basis van VEA (maart 2018) en Inventaris Hernieuwbare Energiebronnen (juni 2018)</t>
  </si>
  <si>
    <t>VEA (maart 2016)</t>
  </si>
  <si>
    <t>VEA (juni 2018)</t>
  </si>
  <si>
    <t>Vandtra</t>
  </si>
  <si>
    <t>Faliestraat 40B, 8210 Zedelgem</t>
  </si>
  <si>
    <t>WKK-0036 Vandevelde</t>
  </si>
  <si>
    <t>interne verbrandingsmotor</t>
  </si>
  <si>
    <t>WKK interne verbrandinsgmotor (gas)</t>
  </si>
  <si>
    <t>IMEWO</t>
  </si>
  <si>
    <t>Alex Allemeersch</t>
  </si>
  <si>
    <t>Faliestraat 59 , 8210 Zedelgem</t>
  </si>
  <si>
    <t>WKK-0350 Alex Allemeersch</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</si>
</sst>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178084.83764641199</c:v>
                </c:pt>
                <c:pt idx="1">
                  <c:v>58075.228391166682</c:v>
                </c:pt>
                <c:pt idx="2">
                  <c:v>2019.5619999999999</c:v>
                </c:pt>
                <c:pt idx="3">
                  <c:v>43991.277015629006</c:v>
                </c:pt>
                <c:pt idx="4">
                  <c:v>87744.814631260844</c:v>
                </c:pt>
                <c:pt idx="5">
                  <c:v>205983.57908906709</c:v>
                </c:pt>
                <c:pt idx="6">
                  <c:v>1960.651307840672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178084.83764641199</c:v>
                </c:pt>
                <c:pt idx="1">
                  <c:v>58075.228391166682</c:v>
                </c:pt>
                <c:pt idx="2">
                  <c:v>2019.5619999999999</c:v>
                </c:pt>
                <c:pt idx="3">
                  <c:v>43991.277015629006</c:v>
                </c:pt>
                <c:pt idx="4">
                  <c:v>87744.814631260844</c:v>
                </c:pt>
                <c:pt idx="5">
                  <c:v>205983.57908906709</c:v>
                </c:pt>
                <c:pt idx="6">
                  <c:v>1960.651307840672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33591.492695989902</c:v>
                </c:pt>
                <c:pt idx="1">
                  <c:v>10993.34552759673</c:v>
                </c:pt>
                <c:pt idx="2">
                  <c:v>391.27175727069005</c:v>
                </c:pt>
                <c:pt idx="3">
                  <c:v>10676.166976355084</c:v>
                </c:pt>
                <c:pt idx="4">
                  <c:v>17340.866268788141</c:v>
                </c:pt>
                <c:pt idx="5">
                  <c:v>51654.910085817646</c:v>
                </c:pt>
                <c:pt idx="6">
                  <c:v>495.25116877345636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7456"/>
        <c:axId val="177213824"/>
      </c:barChart>
      <c:catAx>
        <c:axId val="177187456"/>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33591.492695989902</c:v>
                </c:pt>
                <c:pt idx="1">
                  <c:v>10993.34552759673</c:v>
                </c:pt>
                <c:pt idx="2">
                  <c:v>391.27175727069005</c:v>
                </c:pt>
                <c:pt idx="3">
                  <c:v>10676.166976355084</c:v>
                </c:pt>
                <c:pt idx="4">
                  <c:v>17340.866268788141</c:v>
                </c:pt>
                <c:pt idx="5">
                  <c:v>51654.910085817646</c:v>
                </c:pt>
                <c:pt idx="6">
                  <c:v>495.25116877345636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31040</v>
      </c>
      <c r="B6" s="416"/>
      <c r="C6" s="417"/>
    </row>
    <row r="7" spans="1:7" s="414" customFormat="1" ht="15.75" customHeight="1">
      <c r="A7" s="418" t="str">
        <f>txtMunicipality</f>
        <v>ZEDELGEM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8950</v>
      </c>
      <c r="C9" s="342">
        <v>9296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3538</v>
      </c>
    </row>
    <row r="15" spans="1:6">
      <c r="A15" s="348" t="s">
        <v>184</v>
      </c>
      <c r="B15" s="334">
        <v>916</v>
      </c>
    </row>
    <row r="16" spans="1:6">
      <c r="A16" s="348" t="s">
        <v>6</v>
      </c>
      <c r="B16" s="334">
        <v>1410</v>
      </c>
    </row>
    <row r="17" spans="1:6">
      <c r="A17" s="348" t="s">
        <v>7</v>
      </c>
      <c r="B17" s="334">
        <v>1842</v>
      </c>
    </row>
    <row r="18" spans="1:6">
      <c r="A18" s="348" t="s">
        <v>8</v>
      </c>
      <c r="B18" s="334">
        <v>2441</v>
      </c>
    </row>
    <row r="19" spans="1:6">
      <c r="A19" s="348" t="s">
        <v>9</v>
      </c>
      <c r="B19" s="334">
        <v>2166</v>
      </c>
    </row>
    <row r="20" spans="1:6">
      <c r="A20" s="348" t="s">
        <v>10</v>
      </c>
      <c r="B20" s="334">
        <v>1743</v>
      </c>
    </row>
    <row r="21" spans="1:6">
      <c r="A21" s="348" t="s">
        <v>11</v>
      </c>
      <c r="B21" s="334">
        <v>20990</v>
      </c>
    </row>
    <row r="22" spans="1:6">
      <c r="A22" s="348" t="s">
        <v>12</v>
      </c>
      <c r="B22" s="334">
        <v>53500</v>
      </c>
    </row>
    <row r="23" spans="1:6">
      <c r="A23" s="348" t="s">
        <v>13</v>
      </c>
      <c r="B23" s="334">
        <v>1246</v>
      </c>
    </row>
    <row r="24" spans="1:6">
      <c r="A24" s="348" t="s">
        <v>14</v>
      </c>
      <c r="B24" s="334">
        <v>39</v>
      </c>
    </row>
    <row r="25" spans="1:6">
      <c r="A25" s="348" t="s">
        <v>15</v>
      </c>
      <c r="B25" s="334">
        <v>4780</v>
      </c>
    </row>
    <row r="26" spans="1:6">
      <c r="A26" s="348" t="s">
        <v>16</v>
      </c>
      <c r="B26" s="334">
        <v>396</v>
      </c>
    </row>
    <row r="27" spans="1:6">
      <c r="A27" s="348" t="s">
        <v>17</v>
      </c>
      <c r="B27" s="334">
        <v>0</v>
      </c>
    </row>
    <row r="28" spans="1:6" s="356" customFormat="1">
      <c r="A28" s="355" t="s">
        <v>18</v>
      </c>
      <c r="B28" s="355">
        <v>105051</v>
      </c>
    </row>
    <row r="29" spans="1:6">
      <c r="A29" s="355" t="s">
        <v>828</v>
      </c>
      <c r="B29" s="355">
        <v>229</v>
      </c>
      <c r="C29" s="356"/>
      <c r="D29" s="356"/>
      <c r="E29" s="356"/>
      <c r="F29" s="356"/>
    </row>
    <row r="30" spans="1:6">
      <c r="A30" s="341" t="s">
        <v>829</v>
      </c>
      <c r="B30" s="341">
        <v>62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84392.86</v>
      </c>
    </row>
    <row r="39" spans="1:6">
      <c r="A39" s="348" t="s">
        <v>30</v>
      </c>
      <c r="B39" s="348" t="s">
        <v>31</v>
      </c>
      <c r="C39" s="334">
        <v>5242</v>
      </c>
      <c r="D39" s="334">
        <v>78283770.5881598</v>
      </c>
      <c r="E39" s="334">
        <v>8501</v>
      </c>
      <c r="F39" s="334">
        <v>40336307</v>
      </c>
    </row>
    <row r="40" spans="1:6">
      <c r="A40" s="348" t="s">
        <v>30</v>
      </c>
      <c r="B40" s="348" t="s">
        <v>29</v>
      </c>
      <c r="C40" s="334">
        <v>0</v>
      </c>
      <c r="D40" s="334">
        <v>0</v>
      </c>
      <c r="E40" s="334">
        <v>2</v>
      </c>
      <c r="F40" s="334">
        <v>45072.88</v>
      </c>
    </row>
    <row r="41" spans="1:6">
      <c r="A41" s="348" t="s">
        <v>32</v>
      </c>
      <c r="B41" s="348" t="s">
        <v>33</v>
      </c>
      <c r="C41" s="334">
        <v>96</v>
      </c>
      <c r="D41" s="334">
        <v>2156151.3053911701</v>
      </c>
      <c r="E41" s="334">
        <v>233</v>
      </c>
      <c r="F41" s="334">
        <v>2777513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25</v>
      </c>
      <c r="D44" s="334">
        <v>50929822.270935401</v>
      </c>
      <c r="E44" s="334">
        <v>58</v>
      </c>
      <c r="F44" s="334">
        <v>5392748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264786.21963422903</v>
      </c>
      <c r="E47" s="334">
        <v>12</v>
      </c>
      <c r="F47" s="334">
        <v>410397.6</v>
      </c>
    </row>
    <row r="48" spans="1:6">
      <c r="A48" s="348" t="s">
        <v>32</v>
      </c>
      <c r="B48" s="348" t="s">
        <v>29</v>
      </c>
      <c r="C48" s="334">
        <v>35</v>
      </c>
      <c r="D48" s="334">
        <v>3870958.6615563901</v>
      </c>
      <c r="E48" s="334">
        <v>55</v>
      </c>
      <c r="F48" s="334">
        <v>11983491</v>
      </c>
    </row>
    <row r="49" spans="1:6">
      <c r="A49" s="348" t="s">
        <v>32</v>
      </c>
      <c r="B49" s="348" t="s">
        <v>40</v>
      </c>
      <c r="C49" s="334">
        <v>0</v>
      </c>
      <c r="D49" s="334">
        <v>0</v>
      </c>
      <c r="E49" s="334">
        <v>0</v>
      </c>
      <c r="F49" s="334">
        <v>0</v>
      </c>
    </row>
    <row r="50" spans="1:6">
      <c r="A50" s="348" t="s">
        <v>32</v>
      </c>
      <c r="B50" s="348" t="s">
        <v>41</v>
      </c>
      <c r="C50" s="334">
        <v>10</v>
      </c>
      <c r="D50" s="334">
        <v>1325331.1047678599</v>
      </c>
      <c r="E50" s="334">
        <v>15</v>
      </c>
      <c r="F50" s="334">
        <v>792254.9</v>
      </c>
    </row>
    <row r="51" spans="1:6">
      <c r="A51" s="348" t="s">
        <v>42</v>
      </c>
      <c r="B51" s="348" t="s">
        <v>43</v>
      </c>
      <c r="C51" s="334">
        <v>3</v>
      </c>
      <c r="D51" s="334">
        <v>51019070.600677401</v>
      </c>
      <c r="E51" s="334">
        <v>156</v>
      </c>
      <c r="F51" s="334">
        <v>4389486</v>
      </c>
    </row>
    <row r="52" spans="1:6">
      <c r="A52" s="348" t="s">
        <v>42</v>
      </c>
      <c r="B52" s="348" t="s">
        <v>29</v>
      </c>
      <c r="C52" s="334">
        <v>12</v>
      </c>
      <c r="D52" s="334">
        <v>578975.35758730303</v>
      </c>
      <c r="E52" s="334">
        <v>17</v>
      </c>
      <c r="F52" s="334">
        <v>201306.3</v>
      </c>
    </row>
    <row r="53" spans="1:6">
      <c r="A53" s="348" t="s">
        <v>44</v>
      </c>
      <c r="B53" s="348" t="s">
        <v>45</v>
      </c>
      <c r="C53" s="334">
        <v>114</v>
      </c>
      <c r="D53" s="334">
        <v>1969930.4729031499</v>
      </c>
      <c r="E53" s="334">
        <v>286</v>
      </c>
      <c r="F53" s="334">
        <v>1288471</v>
      </c>
    </row>
    <row r="54" spans="1:6">
      <c r="A54" s="348" t="s">
        <v>46</v>
      </c>
      <c r="B54" s="348" t="s">
        <v>47</v>
      </c>
      <c r="C54" s="334">
        <v>0</v>
      </c>
      <c r="D54" s="334">
        <v>0</v>
      </c>
      <c r="E54" s="334">
        <v>2</v>
      </c>
      <c r="F54" s="334">
        <v>2019562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72</v>
      </c>
      <c r="D57" s="334">
        <v>9941885.1757181492</v>
      </c>
      <c r="E57" s="334">
        <v>164</v>
      </c>
      <c r="F57" s="334">
        <v>4706058</v>
      </c>
    </row>
    <row r="58" spans="1:6">
      <c r="A58" s="348" t="s">
        <v>49</v>
      </c>
      <c r="B58" s="348" t="s">
        <v>51</v>
      </c>
      <c r="C58" s="334">
        <v>26</v>
      </c>
      <c r="D58" s="334">
        <v>812263.22312208998</v>
      </c>
      <c r="E58" s="334">
        <v>36</v>
      </c>
      <c r="F58" s="334">
        <v>300537.5</v>
      </c>
    </row>
    <row r="59" spans="1:6">
      <c r="A59" s="348" t="s">
        <v>49</v>
      </c>
      <c r="B59" s="348" t="s">
        <v>52</v>
      </c>
      <c r="C59" s="334">
        <v>83</v>
      </c>
      <c r="D59" s="334">
        <v>3745737.1420273501</v>
      </c>
      <c r="E59" s="334">
        <v>237</v>
      </c>
      <c r="F59" s="334">
        <v>7457931</v>
      </c>
    </row>
    <row r="60" spans="1:6">
      <c r="A60" s="348" t="s">
        <v>49</v>
      </c>
      <c r="B60" s="348" t="s">
        <v>53</v>
      </c>
      <c r="C60" s="334">
        <v>70</v>
      </c>
      <c r="D60" s="334">
        <v>3653984.299716</v>
      </c>
      <c r="E60" s="334">
        <v>93</v>
      </c>
      <c r="F60" s="334">
        <v>2079376</v>
      </c>
    </row>
    <row r="61" spans="1:6">
      <c r="A61" s="348" t="s">
        <v>49</v>
      </c>
      <c r="B61" s="348" t="s">
        <v>54</v>
      </c>
      <c r="C61" s="334">
        <v>141</v>
      </c>
      <c r="D61" s="334">
        <v>3246367.1929947902</v>
      </c>
      <c r="E61" s="334">
        <v>315</v>
      </c>
      <c r="F61" s="334">
        <v>4462627</v>
      </c>
    </row>
    <row r="62" spans="1:6">
      <c r="A62" s="348" t="s">
        <v>49</v>
      </c>
      <c r="B62" s="348" t="s">
        <v>55</v>
      </c>
      <c r="C62" s="334">
        <v>8</v>
      </c>
      <c r="D62" s="334">
        <v>1360503.8613743</v>
      </c>
      <c r="E62" s="334">
        <v>12</v>
      </c>
      <c r="F62" s="334">
        <v>248890.3</v>
      </c>
    </row>
    <row r="63" spans="1:6">
      <c r="A63" s="348" t="s">
        <v>49</v>
      </c>
      <c r="B63" s="348" t="s">
        <v>29</v>
      </c>
      <c r="C63" s="334">
        <v>132</v>
      </c>
      <c r="D63" s="334">
        <v>6120842.8072070796</v>
      </c>
      <c r="E63" s="334">
        <v>153</v>
      </c>
      <c r="F63" s="334">
        <v>4831003</v>
      </c>
    </row>
    <row r="64" spans="1:6">
      <c r="A64" s="348" t="s">
        <v>56</v>
      </c>
      <c r="B64" s="348" t="s">
        <v>57</v>
      </c>
      <c r="C64" s="334">
        <v>0</v>
      </c>
      <c r="D64" s="334">
        <v>0</v>
      </c>
      <c r="E64" s="334">
        <v>0</v>
      </c>
      <c r="F64" s="334">
        <v>0</v>
      </c>
    </row>
    <row r="65" spans="1:6">
      <c r="A65" s="348" t="s">
        <v>56</v>
      </c>
      <c r="B65" s="348" t="s">
        <v>29</v>
      </c>
      <c r="C65" s="334">
        <v>3</v>
      </c>
      <c r="D65" s="334">
        <v>79062.813075904196</v>
      </c>
      <c r="E65" s="334">
        <v>3</v>
      </c>
      <c r="F65" s="334">
        <v>20869.97</v>
      </c>
    </row>
    <row r="66" spans="1:6">
      <c r="A66" s="348" t="s">
        <v>56</v>
      </c>
      <c r="B66" s="348" t="s">
        <v>58</v>
      </c>
      <c r="C66" s="334">
        <v>0</v>
      </c>
      <c r="D66" s="334">
        <v>0</v>
      </c>
      <c r="E66" s="334">
        <v>6</v>
      </c>
      <c r="F66" s="334">
        <v>61029</v>
      </c>
    </row>
    <row r="67" spans="1:6">
      <c r="A67" s="355" t="s">
        <v>56</v>
      </c>
      <c r="B67" s="355" t="s">
        <v>59</v>
      </c>
      <c r="C67" s="334">
        <v>0</v>
      </c>
      <c r="D67" s="334">
        <v>0</v>
      </c>
      <c r="E67" s="334">
        <v>0</v>
      </c>
      <c r="F67" s="334">
        <v>0</v>
      </c>
    </row>
    <row r="68" spans="1:6">
      <c r="A68" s="341" t="s">
        <v>56</v>
      </c>
      <c r="B68" s="341" t="s">
        <v>60</v>
      </c>
      <c r="C68" s="334">
        <v>8</v>
      </c>
      <c r="D68" s="334">
        <v>171809.581600303</v>
      </c>
      <c r="E68" s="334">
        <v>18</v>
      </c>
      <c r="F68" s="334">
        <v>463680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78638525</v>
      </c>
      <c r="E73" s="477">
        <v>68521338.204332158</v>
      </c>
    </row>
    <row r="74" spans="1:6">
      <c r="A74" s="348" t="s">
        <v>64</v>
      </c>
      <c r="B74" s="348" t="s">
        <v>714</v>
      </c>
      <c r="C74" s="1229" t="s">
        <v>716</v>
      </c>
      <c r="D74" s="477">
        <v>8894635.5804410707</v>
      </c>
      <c r="E74" s="477">
        <v>7764749.9931042362</v>
      </c>
    </row>
    <row r="75" spans="1:6">
      <c r="A75" s="348" t="s">
        <v>65</v>
      </c>
      <c r="B75" s="348" t="s">
        <v>713</v>
      </c>
      <c r="C75" s="1229" t="s">
        <v>717</v>
      </c>
      <c r="D75" s="477">
        <v>27608397</v>
      </c>
      <c r="E75" s="477">
        <v>22113567.449418936</v>
      </c>
    </row>
    <row r="76" spans="1:6">
      <c r="A76" s="348" t="s">
        <v>65</v>
      </c>
      <c r="B76" s="348" t="s">
        <v>714</v>
      </c>
      <c r="C76" s="1229" t="s">
        <v>718</v>
      </c>
      <c r="D76" s="477">
        <v>1084109.5804410707</v>
      </c>
      <c r="E76" s="477">
        <v>858866.30253727781</v>
      </c>
    </row>
    <row r="77" spans="1:6">
      <c r="A77" s="348" t="s">
        <v>66</v>
      </c>
      <c r="B77" s="348" t="s">
        <v>713</v>
      </c>
      <c r="C77" s="1229" t="s">
        <v>719</v>
      </c>
      <c r="D77" s="477">
        <v>99312803</v>
      </c>
      <c r="E77" s="477">
        <v>117453937.00274731</v>
      </c>
    </row>
    <row r="78" spans="1:6">
      <c r="A78" s="341" t="s">
        <v>66</v>
      </c>
      <c r="B78" s="341" t="s">
        <v>714</v>
      </c>
      <c r="C78" s="341" t="s">
        <v>720</v>
      </c>
      <c r="D78" s="1225">
        <v>15340244</v>
      </c>
      <c r="E78" s="1225">
        <v>16508352.743496638</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523932.83911785833</v>
      </c>
      <c r="C83" s="477">
        <v>528405.37894514052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3153.4931303428648</v>
      </c>
    </row>
    <row r="91" spans="1:6">
      <c r="A91" s="348" t="s">
        <v>68</v>
      </c>
      <c r="B91" s="334">
        <v>5551.4101073408219</v>
      </c>
    </row>
    <row r="92" spans="1:6">
      <c r="A92" s="341" t="s">
        <v>69</v>
      </c>
      <c r="B92" s="342">
        <v>4808.5890299352241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3156</v>
      </c>
    </row>
    <row r="98" spans="1:6">
      <c r="A98" s="348" t="s">
        <v>72</v>
      </c>
      <c r="B98" s="334">
        <v>0</v>
      </c>
    </row>
    <row r="99" spans="1:6">
      <c r="A99" s="348" t="s">
        <v>73</v>
      </c>
      <c r="B99" s="334">
        <v>227</v>
      </c>
    </row>
    <row r="100" spans="1:6">
      <c r="A100" s="348" t="s">
        <v>74</v>
      </c>
      <c r="B100" s="334">
        <v>950</v>
      </c>
    </row>
    <row r="101" spans="1:6">
      <c r="A101" s="348" t="s">
        <v>75</v>
      </c>
      <c r="B101" s="334">
        <v>226</v>
      </c>
    </row>
    <row r="102" spans="1:6">
      <c r="A102" s="348" t="s">
        <v>76</v>
      </c>
      <c r="B102" s="334">
        <v>152</v>
      </c>
    </row>
    <row r="103" spans="1:6">
      <c r="A103" s="348" t="s">
        <v>77</v>
      </c>
      <c r="B103" s="334">
        <v>284</v>
      </c>
    </row>
    <row r="104" spans="1:6">
      <c r="A104" s="348" t="s">
        <v>78</v>
      </c>
      <c r="B104" s="334">
        <v>3125</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20</v>
      </c>
      <c r="C123" s="334">
        <v>28</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256</v>
      </c>
    </row>
    <row r="130" spans="1:6">
      <c r="A130" s="348" t="s">
        <v>295</v>
      </c>
      <c r="B130" s="334">
        <v>2</v>
      </c>
    </row>
    <row r="131" spans="1:6">
      <c r="A131" s="348" t="s">
        <v>296</v>
      </c>
      <c r="B131" s="334">
        <v>3</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98014.144271447483</v>
      </c>
      <c r="C3" s="43" t="s">
        <v>170</v>
      </c>
      <c r="D3" s="43"/>
      <c r="E3" s="154"/>
      <c r="F3" s="43"/>
      <c r="G3" s="43"/>
      <c r="H3" s="43"/>
      <c r="I3" s="43"/>
      <c r="J3" s="43"/>
      <c r="K3" s="96"/>
    </row>
    <row r="4" spans="1:11">
      <c r="A4" s="384" t="s">
        <v>171</v>
      </c>
      <c r="B4" s="49">
        <f>IF(ISERROR('SEAP template'!B69),0,'SEAP template'!B69)</f>
        <v>32417.992267618909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4492.5988235294126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0.19374089890317309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6417.9983193277312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27006.428571428572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2019.5619999999999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2019.5619999999999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0.19374089890317309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391.27175727069005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40381.37988</v>
      </c>
      <c r="C5" s="17">
        <f>IF(ISERROR('Eigen informatie GS &amp; warmtenet'!B57),0,'Eigen informatie GS &amp; warmtenet'!B57)</f>
        <v>0</v>
      </c>
      <c r="D5" s="30">
        <f>(SUM(HH_hh_gas_kWh,HH_rest_gas_kWh)/1000)*0.902</f>
        <v>70611.961070520134</v>
      </c>
      <c r="E5" s="17">
        <f>B46*B57</f>
        <v>5682.7413483504033</v>
      </c>
      <c r="F5" s="17">
        <f>B51*B62</f>
        <v>30711.527871474478</v>
      </c>
      <c r="G5" s="18"/>
      <c r="H5" s="17"/>
      <c r="I5" s="17"/>
      <c r="J5" s="17">
        <f>B50*B61+C50*C61</f>
        <v>2652.1364709252266</v>
      </c>
      <c r="K5" s="17"/>
      <c r="L5" s="17"/>
      <c r="M5" s="17"/>
      <c r="N5" s="17">
        <f>B48*B59+C48*C59</f>
        <v>21455.500897800906</v>
      </c>
      <c r="O5" s="17">
        <f>B69*B70*B71</f>
        <v>447.11333333333334</v>
      </c>
      <c r="P5" s="17">
        <f>B77*B78*B79/1000-B77*B78*B79/1000/B80</f>
        <v>591.06666666666661</v>
      </c>
    </row>
    <row r="6" spans="1:16">
      <c r="A6" s="16" t="s">
        <v>631</v>
      </c>
      <c r="B6" s="844">
        <f>kWh_PV_kleiner_dan_10kW</f>
        <v>5551.4101073408219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45932.789987340824</v>
      </c>
      <c r="C8" s="21">
        <f>C5</f>
        <v>0</v>
      </c>
      <c r="D8" s="21">
        <f>D5</f>
        <v>70611.961070520134</v>
      </c>
      <c r="E8" s="21">
        <f>E5</f>
        <v>5682.7413483504033</v>
      </c>
      <c r="F8" s="21">
        <f>F5</f>
        <v>30711.527871474478</v>
      </c>
      <c r="G8" s="21"/>
      <c r="H8" s="21"/>
      <c r="I8" s="21"/>
      <c r="J8" s="21">
        <f>J5</f>
        <v>2652.1364709252266</v>
      </c>
      <c r="K8" s="21"/>
      <c r="L8" s="21">
        <f>L5</f>
        <v>0</v>
      </c>
      <c r="M8" s="21">
        <f>M5</f>
        <v>0</v>
      </c>
      <c r="N8" s="21">
        <f>N5</f>
        <v>21455.500897800906</v>
      </c>
      <c r="O8" s="21">
        <f>O5</f>
        <v>447.11333333333334</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0.19374089890317309</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8899.0600212780791</v>
      </c>
      <c r="C12" s="23">
        <f ca="1">C10*C8</f>
        <v>0</v>
      </c>
      <c r="D12" s="23">
        <f>D8*D10</f>
        <v>14263.616136245068</v>
      </c>
      <c r="E12" s="23">
        <f>E10*E8</f>
        <v>1289.9822860755417</v>
      </c>
      <c r="F12" s="23">
        <f>F10*F8</f>
        <v>8199.9779416836864</v>
      </c>
      <c r="G12" s="23"/>
      <c r="H12" s="23"/>
      <c r="I12" s="23"/>
      <c r="J12" s="23">
        <f>J10*J8</f>
        <v>938.85631070753016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3156</v>
      </c>
      <c r="C18" s="166" t="s">
        <v>111</v>
      </c>
      <c r="D18" s="228"/>
      <c r="E18" s="15"/>
    </row>
    <row r="19" spans="1:7">
      <c r="A19" s="171" t="s">
        <v>72</v>
      </c>
      <c r="B19" s="37">
        <f>aantalw2001_ander</f>
        <v>0</v>
      </c>
      <c r="C19" s="166" t="s">
        <v>111</v>
      </c>
      <c r="D19" s="229"/>
      <c r="E19" s="15"/>
    </row>
    <row r="20" spans="1:7">
      <c r="A20" s="171" t="s">
        <v>73</v>
      </c>
      <c r="B20" s="37">
        <f>aantalw2001_propaan</f>
        <v>227</v>
      </c>
      <c r="C20" s="167">
        <f>IF(ISERROR(B20/SUM($B$20,$B$21,$B$22)*100),0,B20/SUM($B$20,$B$21,$B$22)*100)</f>
        <v>16.179615110477549</v>
      </c>
      <c r="D20" s="229"/>
      <c r="E20" s="15"/>
    </row>
    <row r="21" spans="1:7">
      <c r="A21" s="171" t="s">
        <v>74</v>
      </c>
      <c r="B21" s="37">
        <f>aantalw2001_elektriciteit</f>
        <v>950</v>
      </c>
      <c r="C21" s="167">
        <f>IF(ISERROR(B21/SUM($B$20,$B$21,$B$22)*100),0,B21/SUM($B$20,$B$21,$B$22)*100)</f>
        <v>67.712045616536003</v>
      </c>
      <c r="D21" s="229"/>
      <c r="E21" s="15"/>
    </row>
    <row r="22" spans="1:7">
      <c r="A22" s="171" t="s">
        <v>75</v>
      </c>
      <c r="B22" s="37">
        <f>aantalw2001_hout</f>
        <v>226</v>
      </c>
      <c r="C22" s="167">
        <f>IF(ISERROR(B22/SUM($B$20,$B$21,$B$22)*100),0,B22/SUM($B$20,$B$21,$B$22)*100)</f>
        <v>16.108339272986459</v>
      </c>
      <c r="D22" s="229"/>
      <c r="E22" s="15"/>
    </row>
    <row r="23" spans="1:7">
      <c r="A23" s="171" t="s">
        <v>76</v>
      </c>
      <c r="B23" s="37">
        <f>aantalw2001_niet_gespec</f>
        <v>152</v>
      </c>
      <c r="C23" s="166" t="s">
        <v>111</v>
      </c>
      <c r="D23" s="228"/>
      <c r="E23" s="15"/>
    </row>
    <row r="24" spans="1:7">
      <c r="A24" s="171" t="s">
        <v>77</v>
      </c>
      <c r="B24" s="37">
        <f>aantalw2001_steenkool</f>
        <v>284</v>
      </c>
      <c r="C24" s="166" t="s">
        <v>111</v>
      </c>
      <c r="D24" s="229"/>
      <c r="E24" s="15"/>
    </row>
    <row r="25" spans="1:7">
      <c r="A25" s="171" t="s">
        <v>78</v>
      </c>
      <c r="B25" s="37">
        <f>aantalw2001_stookolie</f>
        <v>3125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8950</v>
      </c>
      <c r="C28" s="36"/>
      <c r="D28" s="228"/>
    </row>
    <row r="29" spans="1:7" s="15" customFormat="1">
      <c r="A29" s="230" t="s">
        <v>741</v>
      </c>
      <c r="B29" s="37">
        <f>SUM(HH_hh_gas_aantal,HH_rest_gas_aantal)</f>
        <v>5242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5242</v>
      </c>
      <c r="C32" s="167">
        <f>IF(ISERROR(B32/SUM($B$32,$B$34,$B$35,$B$36,$B$38,$B$39)*100),0,B32/SUM($B$32,$B$34,$B$35,$B$36,$B$38,$B$39)*100)</f>
        <v>58.773405090256759</v>
      </c>
      <c r="D32" s="233"/>
      <c r="G32" s="15"/>
    </row>
    <row r="33" spans="1:7">
      <c r="A33" s="171" t="s">
        <v>72</v>
      </c>
      <c r="B33" s="34" t="s">
        <v>111</v>
      </c>
      <c r="C33" s="167"/>
      <c r="D33" s="233"/>
      <c r="G33" s="15"/>
    </row>
    <row r="34" spans="1:7">
      <c r="A34" s="171" t="s">
        <v>73</v>
      </c>
      <c r="B34" s="33">
        <f>IF((($B$28-$B$32-$B$39-$B$77-$B$38)*C20/100)&lt;0,0,($B$28-$B$32-$B$39-$B$77-$B$38)*C20/100)</f>
        <v>380.86813970064145</v>
      </c>
      <c r="C34" s="167">
        <f>IF(ISERROR(B34/SUM($B$32,$B$34,$B$35,$B$36,$B$38,$B$39)*100),0,B34/SUM($B$32,$B$34,$B$35,$B$36,$B$38,$B$39)*100)</f>
        <v>4.2703009272411867</v>
      </c>
      <c r="D34" s="233"/>
      <c r="G34" s="15"/>
    </row>
    <row r="35" spans="1:7">
      <c r="A35" s="171" t="s">
        <v>74</v>
      </c>
      <c r="B35" s="33">
        <f>IF((($B$28-$B$32-$B$39-$B$77-$B$38)*C21/100)&lt;0,0,($B$28-$B$32-$B$39-$B$77-$B$38)*C21/100)</f>
        <v>1593.9415538132575</v>
      </c>
      <c r="C35" s="167">
        <f>IF(ISERROR(B35/SUM($B$32,$B$34,$B$35,$B$36,$B$38,$B$39)*100),0,B35/SUM($B$32,$B$34,$B$35,$B$36,$B$38,$B$39)*100)</f>
        <v>17.871303439996161</v>
      </c>
      <c r="D35" s="233"/>
      <c r="G35" s="15"/>
    </row>
    <row r="36" spans="1:7">
      <c r="A36" s="171" t="s">
        <v>75</v>
      </c>
      <c r="B36" s="33">
        <f>IF((($B$28-$B$32-$B$39-$B$77-$B$38)*C22/100)&lt;0,0,($B$28-$B$32-$B$39-$B$77-$B$38)*C22/100)</f>
        <v>379.19030648610124</v>
      </c>
      <c r="C36" s="167">
        <f>IF(ISERROR(B36/SUM($B$32,$B$34,$B$35,$B$36,$B$38,$B$39)*100),0,B36/SUM($B$32,$B$34,$B$35,$B$36,$B$38,$B$39)*100)</f>
        <v>4.2514890288832961</v>
      </c>
      <c r="D36" s="233"/>
      <c r="G36" s="15"/>
    </row>
    <row r="37" spans="1:7">
      <c r="A37" s="171" t="s">
        <v>76</v>
      </c>
      <c r="B37" s="34" t="s">
        <v>111</v>
      </c>
      <c r="C37" s="167"/>
      <c r="D37" s="173"/>
      <c r="G37" s="15"/>
    </row>
    <row r="38" spans="1:7">
      <c r="A38" s="171" t="s">
        <v>77</v>
      </c>
      <c r="B38" s="33">
        <f>IF((B24-(B29-B18)*0.1)&lt;0,0,B24-(B29-B18)*0.1)</f>
        <v>75.399999999999977</v>
      </c>
      <c r="C38" s="167">
        <f>IF(ISERROR(B38/SUM($B$32,$B$34,$B$35,$B$36,$B$38,$B$39)*100),0,B38/SUM($B$32,$B$34,$B$35,$B$36,$B$38,$B$39)*100)</f>
        <v>0.84538625406435675</v>
      </c>
      <c r="D38" s="234"/>
      <c r="G38" s="15"/>
    </row>
    <row r="39" spans="1:7">
      <c r="A39" s="171" t="s">
        <v>78</v>
      </c>
      <c r="B39" s="33">
        <f>IF((B25-(B29-B18))&lt;0,0,B25-(B29-B18)*0.9)</f>
        <v>1247.5999999999999</v>
      </c>
      <c r="C39" s="167">
        <f>IF(ISERROR(B39/SUM($B$32,$B$34,$B$35,$B$36,$B$38,$B$39)*100),0,B39/SUM($B$32,$B$34,$B$35,$B$36,$B$38,$B$39)*100)</f>
        <v>13.988115259558246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5242</v>
      </c>
      <c r="C44" s="34" t="s">
        <v>111</v>
      </c>
      <c r="D44" s="174"/>
    </row>
    <row r="45" spans="1:7">
      <c r="A45" s="171" t="s">
        <v>72</v>
      </c>
      <c r="B45" s="33" t="str">
        <f t="shared" si="0"/>
        <v>-</v>
      </c>
      <c r="C45" s="34" t="s">
        <v>111</v>
      </c>
      <c r="D45" s="174"/>
    </row>
    <row r="46" spans="1:7">
      <c r="A46" s="171" t="s">
        <v>73</v>
      </c>
      <c r="B46" s="33">
        <f t="shared" si="0"/>
        <v>380.86813970064145</v>
      </c>
      <c r="C46" s="34" t="s">
        <v>111</v>
      </c>
      <c r="D46" s="174"/>
    </row>
    <row r="47" spans="1:7">
      <c r="A47" s="171" t="s">
        <v>74</v>
      </c>
      <c r="B47" s="33">
        <f t="shared" si="0"/>
        <v>1593.9415538132575</v>
      </c>
      <c r="C47" s="34" t="s">
        <v>111</v>
      </c>
      <c r="D47" s="174"/>
    </row>
    <row r="48" spans="1:7">
      <c r="A48" s="171" t="s">
        <v>75</v>
      </c>
      <c r="B48" s="33">
        <f t="shared" si="0"/>
        <v>379.19030648610124</v>
      </c>
      <c r="C48" s="33">
        <f>B48*10</f>
        <v>3791.9030648610124</v>
      </c>
      <c r="D48" s="234"/>
    </row>
    <row r="49" spans="1:6">
      <c r="A49" s="171" t="s">
        <v>76</v>
      </c>
      <c r="B49" s="33" t="str">
        <f t="shared" si="0"/>
        <v>-</v>
      </c>
      <c r="C49" s="34" t="s">
        <v>111</v>
      </c>
      <c r="D49" s="234"/>
    </row>
    <row r="50" spans="1:6">
      <c r="A50" s="171" t="s">
        <v>77</v>
      </c>
      <c r="B50" s="33">
        <f t="shared" si="0"/>
        <v>75.399999999999977</v>
      </c>
      <c r="C50" s="33">
        <f>B50*2</f>
        <v>150.79999999999995</v>
      </c>
      <c r="D50" s="234"/>
    </row>
    <row r="51" spans="1:6">
      <c r="A51" s="171" t="s">
        <v>78</v>
      </c>
      <c r="B51" s="33">
        <f t="shared" si="0"/>
        <v>1247.5999999999999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24086.4228</v>
      </c>
      <c r="C5" s="17">
        <f>IF(ISERROR('Eigen informatie GS &amp; warmtenet'!B58),0,'Eigen informatie GS &amp; warmtenet'!B58)</f>
        <v>0</v>
      </c>
      <c r="D5" s="30">
        <f>SUM(D6:D12)</f>
        <v>26051.188499348104</v>
      </c>
      <c r="E5" s="17">
        <f>SUM(E6:E12)</f>
        <v>240.53669588813113</v>
      </c>
      <c r="F5" s="17">
        <f>SUM(F6:F12)</f>
        <v>3782.3161652731192</v>
      </c>
      <c r="G5" s="18"/>
      <c r="H5" s="17"/>
      <c r="I5" s="17"/>
      <c r="J5" s="17">
        <f>SUM(J6:J12)</f>
        <v>0</v>
      </c>
      <c r="K5" s="17"/>
      <c r="L5" s="17"/>
      <c r="M5" s="17"/>
      <c r="N5" s="17">
        <f>SUM(N6:N12)</f>
        <v>3835.3708973239932</v>
      </c>
      <c r="O5" s="17">
        <f>B38*B39*B40</f>
        <v>3.1266666666666669</v>
      </c>
      <c r="P5" s="17">
        <f>B46*B47*B48/1000-B46*B47*B48/1000/B49</f>
        <v>76.266666666666666</v>
      </c>
      <c r="R5" s="32"/>
    </row>
    <row r="6" spans="1:18">
      <c r="A6" s="32" t="s">
        <v>54</v>
      </c>
      <c r="B6" s="37">
        <f>B26</f>
        <v>4462.6270000000004</v>
      </c>
      <c r="C6" s="33"/>
      <c r="D6" s="37">
        <f>IF(ISERROR(TER_kantoor_gas_kWh/1000),0,TER_kantoor_gas_kWh/1000)*0.902</f>
        <v>2928.2232080813005</v>
      </c>
      <c r="E6" s="33">
        <f>$C$26*'E Balans VL '!I12/100/3.6*1000000</f>
        <v>12.928885179221055</v>
      </c>
      <c r="F6" s="33">
        <f>$C$26*('E Balans VL '!L12+'E Balans VL '!N12)/100/3.6*1000000</f>
        <v>505.07105710426453</v>
      </c>
      <c r="G6" s="34"/>
      <c r="H6" s="33"/>
      <c r="I6" s="33"/>
      <c r="J6" s="33">
        <f>$C$26*('E Balans VL '!D12+'E Balans VL '!E12)/100/3.6*1000000</f>
        <v>0</v>
      </c>
      <c r="K6" s="33"/>
      <c r="L6" s="33"/>
      <c r="M6" s="33"/>
      <c r="N6" s="33">
        <f>$C$26*'E Balans VL '!Y12/100/3.6*1000000</f>
        <v>44.667608059611865</v>
      </c>
      <c r="O6" s="33"/>
      <c r="P6" s="33"/>
      <c r="R6" s="32"/>
    </row>
    <row r="7" spans="1:18">
      <c r="A7" s="32" t="s">
        <v>53</v>
      </c>
      <c r="B7" s="37">
        <f t="shared" ref="B7:B12" si="0">B27</f>
        <v>2079.3760000000002</v>
      </c>
      <c r="C7" s="33"/>
      <c r="D7" s="37">
        <f>IF(ISERROR(TER_horeca_gas_kWh/1000),0,TER_horeca_gas_kWh/1000)*0.902</f>
        <v>3295.8938383438322</v>
      </c>
      <c r="E7" s="33">
        <f>$C$27*'E Balans VL '!I9/100/3.6*1000000</f>
        <v>87.286394818277216</v>
      </c>
      <c r="F7" s="33">
        <f>$C$27*('E Balans VL '!L9+'E Balans VL '!N9)/100/3.6*1000000</f>
        <v>446.79657522099365</v>
      </c>
      <c r="G7" s="34"/>
      <c r="H7" s="33"/>
      <c r="I7" s="33"/>
      <c r="J7" s="33">
        <f>$C$27*('E Balans VL '!D9+'E Balans VL '!E9)/100/3.6*1000000</f>
        <v>0</v>
      </c>
      <c r="K7" s="33"/>
      <c r="L7" s="33"/>
      <c r="M7" s="33"/>
      <c r="N7" s="33">
        <f>$C$27*'E Balans VL '!Y9/100/3.6*1000000</f>
        <v>0.53583701039718423</v>
      </c>
      <c r="O7" s="33"/>
      <c r="P7" s="33"/>
      <c r="R7" s="32"/>
    </row>
    <row r="8" spans="1:18">
      <c r="A8" s="6" t="s">
        <v>52</v>
      </c>
      <c r="B8" s="37">
        <f t="shared" si="0"/>
        <v>7457.9309999999996</v>
      </c>
      <c r="C8" s="33"/>
      <c r="D8" s="37">
        <f>IF(ISERROR(TER_handel_gas_kWh/1000),0,TER_handel_gas_kWh/1000)*0.902</f>
        <v>3378.6549021086698</v>
      </c>
      <c r="E8" s="33">
        <f>$C$28*'E Balans VL '!I13/100/3.6*1000000</f>
        <v>80.104385999525775</v>
      </c>
      <c r="F8" s="33">
        <f>$C$28*('E Balans VL '!L13+'E Balans VL '!N13)/100/3.6*1000000</f>
        <v>965.49075427460889</v>
      </c>
      <c r="G8" s="34"/>
      <c r="H8" s="33"/>
      <c r="I8" s="33"/>
      <c r="J8" s="33">
        <f>$C$28*('E Balans VL '!D13+'E Balans VL '!E13)/100/3.6*1000000</f>
        <v>0</v>
      </c>
      <c r="K8" s="33"/>
      <c r="L8" s="33"/>
      <c r="M8" s="33"/>
      <c r="N8" s="33">
        <f>$C$28*'E Balans VL '!Y13/100/3.6*1000000</f>
        <v>60.499143492738369</v>
      </c>
      <c r="O8" s="33"/>
      <c r="P8" s="33"/>
      <c r="R8" s="32"/>
    </row>
    <row r="9" spans="1:18">
      <c r="A9" s="32" t="s">
        <v>51</v>
      </c>
      <c r="B9" s="37">
        <f t="shared" si="0"/>
        <v>300.53750000000002</v>
      </c>
      <c r="C9" s="33"/>
      <c r="D9" s="37">
        <f>IF(ISERROR(TER_gezond_gas_kWh/1000),0,TER_gezond_gas_kWh/1000)*0.902</f>
        <v>732.66142725612519</v>
      </c>
      <c r="E9" s="33">
        <f>$C$29*'E Balans VL '!I10/100/3.6*1000000</f>
        <v>0.23924728824473401</v>
      </c>
      <c r="F9" s="33">
        <f>$C$29*('E Balans VL '!L10+'E Balans VL '!N10)/100/3.6*1000000</f>
        <v>36.534676283065004</v>
      </c>
      <c r="G9" s="34"/>
      <c r="H9" s="33"/>
      <c r="I9" s="33"/>
      <c r="J9" s="33">
        <f>$C$29*('E Balans VL '!D10+'E Balans VL '!E10)/100/3.6*1000000</f>
        <v>0</v>
      </c>
      <c r="K9" s="33"/>
      <c r="L9" s="33"/>
      <c r="M9" s="33"/>
      <c r="N9" s="33">
        <f>$C$29*'E Balans VL '!Y10/100/3.6*1000000</f>
        <v>2.4276623028208473</v>
      </c>
      <c r="O9" s="33"/>
      <c r="P9" s="33"/>
      <c r="R9" s="32"/>
    </row>
    <row r="10" spans="1:18">
      <c r="A10" s="32" t="s">
        <v>50</v>
      </c>
      <c r="B10" s="37">
        <f t="shared" si="0"/>
        <v>4706.058</v>
      </c>
      <c r="C10" s="33"/>
      <c r="D10" s="37">
        <f>IF(ISERROR(TER_ander_gas_kWh/1000),0,TER_ander_gas_kWh/1000)*0.902</f>
        <v>8967.5804284977712</v>
      </c>
      <c r="E10" s="33">
        <f>$C$30*'E Balans VL '!I14/100/3.6*1000000</f>
        <v>16.127907990596597</v>
      </c>
      <c r="F10" s="33">
        <f>$C$30*('E Balans VL '!L14+'E Balans VL '!N14)/100/3.6*1000000</f>
        <v>1051.1421255293019</v>
      </c>
      <c r="G10" s="34"/>
      <c r="H10" s="33"/>
      <c r="I10" s="33"/>
      <c r="J10" s="33">
        <f>$C$30*('E Balans VL '!D14+'E Balans VL '!E14)/100/3.6*1000000</f>
        <v>0</v>
      </c>
      <c r="K10" s="33"/>
      <c r="L10" s="33"/>
      <c r="M10" s="33"/>
      <c r="N10" s="33">
        <f>$C$30*'E Balans VL '!Y14/100/3.6*1000000</f>
        <v>3314.9729638923181</v>
      </c>
      <c r="O10" s="33"/>
      <c r="P10" s="33"/>
      <c r="R10" s="32"/>
    </row>
    <row r="11" spans="1:18">
      <c r="A11" s="32" t="s">
        <v>55</v>
      </c>
      <c r="B11" s="37">
        <f t="shared" si="0"/>
        <v>248.8903</v>
      </c>
      <c r="C11" s="33"/>
      <c r="D11" s="37">
        <f>IF(ISERROR(TER_onderwijs_gas_kWh/1000),0,TER_onderwijs_gas_kWh/1000)*0.902</f>
        <v>1227.1744829596187</v>
      </c>
      <c r="E11" s="33">
        <f>$C$31*'E Balans VL '!I11/100/3.6*1000000</f>
        <v>0.17205019917202219</v>
      </c>
      <c r="F11" s="33">
        <f>$C$31*('E Balans VL '!L11+'E Balans VL '!N11)/100/3.6*1000000</f>
        <v>65.152250767336852</v>
      </c>
      <c r="G11" s="34"/>
      <c r="H11" s="33"/>
      <c r="I11" s="33"/>
      <c r="J11" s="33">
        <f>$C$31*('E Balans VL '!D11+'E Balans VL '!E11)/100/3.6*1000000</f>
        <v>0</v>
      </c>
      <c r="K11" s="33"/>
      <c r="L11" s="33"/>
      <c r="M11" s="33"/>
      <c r="N11" s="33">
        <f>$C$31*'E Balans VL '!Y11/100/3.6*1000000</f>
        <v>0.24774909482792926</v>
      </c>
      <c r="O11" s="33"/>
      <c r="P11" s="33"/>
      <c r="R11" s="32"/>
    </row>
    <row r="12" spans="1:18">
      <c r="A12" s="32" t="s">
        <v>260</v>
      </c>
      <c r="B12" s="37">
        <f t="shared" si="0"/>
        <v>4831.0029999999997</v>
      </c>
      <c r="C12" s="33"/>
      <c r="D12" s="37">
        <f>IF(ISERROR(TER_rest_gas_kWh/1000),0,TER_rest_gas_kWh/1000)*0.902</f>
        <v>5521.0002121007856</v>
      </c>
      <c r="E12" s="33">
        <f>$C$32*'E Balans VL '!I8/100/3.6*1000000</f>
        <v>43.677824413093724</v>
      </c>
      <c r="F12" s="33">
        <f>$C$32*('E Balans VL '!L8+'E Balans VL '!N8)/100/3.6*1000000</f>
        <v>712.12872609354883</v>
      </c>
      <c r="G12" s="34"/>
      <c r="H12" s="33"/>
      <c r="I12" s="33"/>
      <c r="J12" s="33">
        <f>$C$32*('E Balans VL '!D8+'E Balans VL '!E8)/100/3.6*1000000</f>
        <v>0</v>
      </c>
      <c r="K12" s="33"/>
      <c r="L12" s="33"/>
      <c r="M12" s="33"/>
      <c r="N12" s="33">
        <f>$C$32*'E Balans VL '!Y8/100/3.6*1000000</f>
        <v>412.01993347127899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24086.4228</v>
      </c>
      <c r="C16" s="21">
        <f t="shared" ca="1" si="1"/>
        <v>0</v>
      </c>
      <c r="D16" s="21">
        <f t="shared" ca="1" si="1"/>
        <v>26051.188499348104</v>
      </c>
      <c r="E16" s="21">
        <f t="shared" si="1"/>
        <v>240.53669588813113</v>
      </c>
      <c r="F16" s="21">
        <f t="shared" ca="1" si="1"/>
        <v>3782.3161652731192</v>
      </c>
      <c r="G16" s="21">
        <f t="shared" si="1"/>
        <v>0</v>
      </c>
      <c r="H16" s="21">
        <f t="shared" si="1"/>
        <v>0</v>
      </c>
      <c r="I16" s="21">
        <f t="shared" si="1"/>
        <v>0</v>
      </c>
      <c r="J16" s="21">
        <f t="shared" si="1"/>
        <v>0</v>
      </c>
      <c r="K16" s="21">
        <f t="shared" si="1"/>
        <v>0</v>
      </c>
      <c r="L16" s="21">
        <f t="shared" ca="1" si="1"/>
        <v>0</v>
      </c>
      <c r="M16" s="21">
        <f t="shared" si="1"/>
        <v>0</v>
      </c>
      <c r="N16" s="21">
        <f t="shared" ca="1" si="1"/>
        <v>3835.3708973239932</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0.19374089890317309</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4666.5252046338837</v>
      </c>
      <c r="C20" s="23">
        <f t="shared" ref="C20:P20" ca="1" si="2">C16*C18</f>
        <v>0</v>
      </c>
      <c r="D20" s="23">
        <f t="shared" ca="1" si="2"/>
        <v>5262.3400768683168</v>
      </c>
      <c r="E20" s="23">
        <f t="shared" si="2"/>
        <v>54.60182996660577</v>
      </c>
      <c r="F20" s="23">
        <f t="shared" ca="1" si="2"/>
        <v>1009.8784161279228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4462.6270000000004</v>
      </c>
      <c r="C26" s="39">
        <f>IF(ISERROR(B26*3.6/1000000/'E Balans VL '!Z12*100),0,B26*3.6/1000000/'E Balans VL '!Z12*100)</f>
        <v>9.802676136845144E-2</v>
      </c>
      <c r="D26" s="237" t="s">
        <v>692</v>
      </c>
      <c r="F26" s="6"/>
    </row>
    <row r="27" spans="1:18">
      <c r="A27" s="231" t="s">
        <v>53</v>
      </c>
      <c r="B27" s="33">
        <f>IF(ISERROR(TER_horeca_ele_kWh/1000),0,TER_horeca_ele_kWh/1000)</f>
        <v>2079.3760000000002</v>
      </c>
      <c r="C27" s="39">
        <f>IF(ISERROR(B27*3.6/1000000/'E Balans VL '!Z9*100),0,B27*3.6/1000000/'E Balans VL '!Z9*100)</f>
        <v>0.16709858906478176</v>
      </c>
      <c r="D27" s="237" t="s">
        <v>692</v>
      </c>
      <c r="F27" s="6"/>
    </row>
    <row r="28" spans="1:18">
      <c r="A28" s="171" t="s">
        <v>52</v>
      </c>
      <c r="B28" s="33">
        <f>IF(ISERROR(TER_handel_ele_kWh/1000),0,TER_handel_ele_kWh/1000)</f>
        <v>7457.9309999999996</v>
      </c>
      <c r="C28" s="39">
        <f>IF(ISERROR(B28*3.6/1000000/'E Balans VL '!Z13*100),0,B28*3.6/1000000/'E Balans VL '!Z13*100)</f>
        <v>0.22052580945000666</v>
      </c>
      <c r="D28" s="237" t="s">
        <v>692</v>
      </c>
      <c r="F28" s="6"/>
    </row>
    <row r="29" spans="1:18">
      <c r="A29" s="231" t="s">
        <v>51</v>
      </c>
      <c r="B29" s="33">
        <f>IF(ISERROR(TER_gezond_ele_kWh/1000),0,TER_gezond_ele_kWh/1000)</f>
        <v>300.53750000000002</v>
      </c>
      <c r="C29" s="39">
        <f>IF(ISERROR(B29*3.6/1000000/'E Balans VL '!Z10*100),0,B29*3.6/1000000/'E Balans VL '!Z10*100)</f>
        <v>3.3862817055724706E-2</v>
      </c>
      <c r="D29" s="237" t="s">
        <v>692</v>
      </c>
      <c r="F29" s="6"/>
    </row>
    <row r="30" spans="1:18">
      <c r="A30" s="231" t="s">
        <v>50</v>
      </c>
      <c r="B30" s="33">
        <f>IF(ISERROR(TER_ander_ele_kWh/1000),0,TER_ander_ele_kWh/1000)</f>
        <v>4706.058</v>
      </c>
      <c r="C30" s="39">
        <f>IF(ISERROR(B30*3.6/1000000/'E Balans VL '!Z14*100),0,B30*3.6/1000000/'E Balans VL '!Z14*100)</f>
        <v>0.35591112189722601</v>
      </c>
      <c r="D30" s="237" t="s">
        <v>692</v>
      </c>
      <c r="F30" s="6"/>
    </row>
    <row r="31" spans="1:18">
      <c r="A31" s="231" t="s">
        <v>55</v>
      </c>
      <c r="B31" s="33">
        <f>IF(ISERROR(TER_onderwijs_ele_kWh/1000),0,TER_onderwijs_ele_kWh/1000)</f>
        <v>248.8903</v>
      </c>
      <c r="C31" s="39">
        <f>IF(ISERROR(B31*3.6/1000000/'E Balans VL '!Z11*100),0,B31*3.6/1000000/'E Balans VL '!Z11*100)</f>
        <v>5.1663848539726345E-2</v>
      </c>
      <c r="D31" s="237" t="s">
        <v>692</v>
      </c>
    </row>
    <row r="32" spans="1:18">
      <c r="A32" s="231" t="s">
        <v>260</v>
      </c>
      <c r="B32" s="33">
        <f>IF(ISERROR(TER_rest_ele_kWh/1000),0,TER_rest_ele_kWh/1000)</f>
        <v>4831.0029999999997</v>
      </c>
      <c r="C32" s="39">
        <f>IF(ISERROR(B32*3.6/1000000/'E Balans VL '!Z8*100),0,B32*3.6/1000000/'E Balans VL '!Z8*100)</f>
        <v>4.0698358292177834E-2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21356.404500000001</v>
      </c>
      <c r="C5" s="17">
        <f>IF(ISERROR('Eigen informatie GS &amp; warmtenet'!B59),0,'Eigen informatie GS &amp; warmtenet'!B59)</f>
        <v>0</v>
      </c>
      <c r="D5" s="30">
        <f>SUM(D6:D15)</f>
        <v>52809.438705181121</v>
      </c>
      <c r="E5" s="17">
        <f>SUM(E6:E15)</f>
        <v>1517.2277867609505</v>
      </c>
      <c r="F5" s="17">
        <f>SUM(F6:F15)</f>
        <v>8115.4696976689111</v>
      </c>
      <c r="G5" s="18"/>
      <c r="H5" s="17"/>
      <c r="I5" s="17"/>
      <c r="J5" s="17">
        <f>SUM(J6:J15)</f>
        <v>69.235955648154786</v>
      </c>
      <c r="K5" s="17"/>
      <c r="L5" s="17"/>
      <c r="M5" s="17"/>
      <c r="N5" s="17">
        <f>SUM(N6:N15)</f>
        <v>3877.0379860016965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5392.7479999999996</v>
      </c>
      <c r="C8" s="33"/>
      <c r="D8" s="37">
        <f>IF( ISERROR(IND_metaal_Gas_kWH/1000),0,IND_metaal_Gas_kWH/1000)*0.902</f>
        <v>45938.699688383735</v>
      </c>
      <c r="E8" s="33">
        <f>C30*'E Balans VL '!I18/100/3.6*1000000</f>
        <v>134.96160822635366</v>
      </c>
      <c r="F8" s="33">
        <f>C30*'E Balans VL '!L18/100/3.6*1000000+C30*'E Balans VL '!N18/100/3.6*1000000</f>
        <v>1690.1140481081022</v>
      </c>
      <c r="G8" s="34"/>
      <c r="H8" s="33"/>
      <c r="I8" s="33"/>
      <c r="J8" s="40">
        <f>C30*'E Balans VL '!D18/100/3.6*1000000+C30*'E Balans VL '!E18/100/3.6*1000000</f>
        <v>0</v>
      </c>
      <c r="K8" s="33"/>
      <c r="L8" s="33"/>
      <c r="M8" s="33"/>
      <c r="N8" s="33">
        <f>C30*'E Balans VL '!Y18/100/3.6*1000000</f>
        <v>135.4798251614684</v>
      </c>
      <c r="O8" s="33"/>
      <c r="P8" s="33"/>
      <c r="R8" s="32"/>
    </row>
    <row r="9" spans="1:18">
      <c r="A9" s="6" t="s">
        <v>33</v>
      </c>
      <c r="B9" s="37">
        <f t="shared" si="0"/>
        <v>2777.5129999999999</v>
      </c>
      <c r="C9" s="33"/>
      <c r="D9" s="37">
        <f>IF( ISERROR(IND_andere_gas_kWh/1000),0,IND_andere_gas_kWh/1000)*0.902</f>
        <v>1944.8484774628353</v>
      </c>
      <c r="E9" s="33">
        <f>C31*'E Balans VL '!I19/100/3.6*1000000</f>
        <v>763.70215514989115</v>
      </c>
      <c r="F9" s="33">
        <f>C31*'E Balans VL '!L19/100/3.6*1000000+C31*'E Balans VL '!N19/100/3.6*1000000</f>
        <v>2189.1635659635308</v>
      </c>
      <c r="G9" s="34"/>
      <c r="H9" s="33"/>
      <c r="I9" s="33"/>
      <c r="J9" s="40">
        <f>C31*'E Balans VL '!D19/100/3.6*1000000+C31*'E Balans VL '!E19/100/3.6*1000000</f>
        <v>0</v>
      </c>
      <c r="K9" s="33"/>
      <c r="L9" s="33"/>
      <c r="M9" s="33"/>
      <c r="N9" s="33">
        <f>C31*'E Balans VL '!Y19/100/3.6*1000000</f>
        <v>899.15427217488514</v>
      </c>
      <c r="O9" s="33"/>
      <c r="P9" s="33"/>
      <c r="R9" s="32"/>
    </row>
    <row r="10" spans="1:18">
      <c r="A10" s="6" t="s">
        <v>41</v>
      </c>
      <c r="B10" s="37">
        <f t="shared" si="0"/>
        <v>792.25490000000002</v>
      </c>
      <c r="C10" s="33"/>
      <c r="D10" s="37">
        <f>IF( ISERROR(IND_voed_gas_kWh/1000),0,IND_voed_gas_kWh/1000)*0.902</f>
        <v>1195.4486565006096</v>
      </c>
      <c r="E10" s="33">
        <f>C32*'E Balans VL '!I20/100/3.6*1000000</f>
        <v>8.0766022497851626</v>
      </c>
      <c r="F10" s="33">
        <f>C32*'E Balans VL '!L20/100/3.6*1000000+C32*'E Balans VL '!N20/100/3.6*1000000</f>
        <v>1496.5645510239185</v>
      </c>
      <c r="G10" s="34"/>
      <c r="H10" s="33"/>
      <c r="I10" s="33"/>
      <c r="J10" s="40">
        <f>C32*'E Balans VL '!D20/100/3.6*1000000+C32*'E Balans VL '!E20/100/3.6*1000000</f>
        <v>18.961252026769035</v>
      </c>
      <c r="K10" s="33"/>
      <c r="L10" s="33"/>
      <c r="M10" s="33"/>
      <c r="N10" s="33">
        <f>C32*'E Balans VL '!Y20/100/3.6*1000000</f>
        <v>417.60958887427336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410.39759999999995</v>
      </c>
      <c r="C13" s="33"/>
      <c r="D13" s="37">
        <f>IF( ISERROR(IND_papier_gas_kWh/1000),0,IND_papier_gas_kWh/1000)*0.902</f>
        <v>238.8371701100746</v>
      </c>
      <c r="E13" s="33">
        <f>C35*'E Balans VL '!I23/100/3.6*1000000</f>
        <v>0.84996113077096735</v>
      </c>
      <c r="F13" s="33">
        <f>C35*'E Balans VL '!L23/100/3.6*1000000+C35*'E Balans VL '!N23/100/3.6*1000000</f>
        <v>8.1390642305254168</v>
      </c>
      <c r="G13" s="34"/>
      <c r="H13" s="33"/>
      <c r="I13" s="33"/>
      <c r="J13" s="40">
        <f>C35*'E Balans VL '!D23/100/3.6*1000000+C35*'E Balans VL '!E23/100/3.6*1000000</f>
        <v>0</v>
      </c>
      <c r="K13" s="33"/>
      <c r="L13" s="33"/>
      <c r="M13" s="33"/>
      <c r="N13" s="33">
        <f>C35*'E Balans VL '!Y23/100/3.6*1000000</f>
        <v>173.28951195253131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11983.491</v>
      </c>
      <c r="C15" s="33"/>
      <c r="D15" s="37">
        <f>IF( ISERROR(IND_rest_gas_kWh/1000),0,IND_rest_gas_kWh/1000)*0.902</f>
        <v>3491.6047127238639</v>
      </c>
      <c r="E15" s="33">
        <f>C37*'E Balans VL '!I15/100/3.6*1000000</f>
        <v>609.63746000414937</v>
      </c>
      <c r="F15" s="33">
        <f>C37*'E Balans VL '!L15/100/3.6*1000000+C37*'E Balans VL '!N15/100/3.6*1000000</f>
        <v>2731.4884683428345</v>
      </c>
      <c r="G15" s="34"/>
      <c r="H15" s="33"/>
      <c r="I15" s="33"/>
      <c r="J15" s="40">
        <f>C37*'E Balans VL '!D15/100/3.6*1000000+C37*'E Balans VL '!E15/100/3.6*1000000</f>
        <v>50.274703621385747</v>
      </c>
      <c r="K15" s="33"/>
      <c r="L15" s="33"/>
      <c r="M15" s="33"/>
      <c r="N15" s="33">
        <f>C37*'E Balans VL '!Y15/100/3.6*1000000</f>
        <v>2251.504787838538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21356.404500000001</v>
      </c>
      <c r="C18" s="21">
        <f>C5+C16</f>
        <v>0</v>
      </c>
      <c r="D18" s="21">
        <f>MAX((D5+D16),0)</f>
        <v>52809.438705181121</v>
      </c>
      <c r="E18" s="21">
        <f>MAX((E5+E16),0)</f>
        <v>1517.2277867609505</v>
      </c>
      <c r="F18" s="21">
        <f>MAX((F5+F16),0)</f>
        <v>8115.4696976689111</v>
      </c>
      <c r="G18" s="21"/>
      <c r="H18" s="21"/>
      <c r="I18" s="21"/>
      <c r="J18" s="21">
        <f>MAX((J5+J16),0)</f>
        <v>69.235955648154786</v>
      </c>
      <c r="K18" s="21"/>
      <c r="L18" s="21">
        <f>MAX((L5+L16),0)</f>
        <v>0</v>
      </c>
      <c r="M18" s="21"/>
      <c r="N18" s="21">
        <f>MAX((N5+N16),0)</f>
        <v>3877.0379860016965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0.19374089890317309</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4137.6090051697711</v>
      </c>
      <c r="C22" s="23">
        <f ca="1">C18*C20</f>
        <v>0</v>
      </c>
      <c r="D22" s="23">
        <f>D18*D20</f>
        <v>10667.506618446587</v>
      </c>
      <c r="E22" s="23">
        <f>E18*E20</f>
        <v>344.41070759473575</v>
      </c>
      <c r="F22" s="23">
        <f>F18*F20</f>
        <v>2166.8304092775993</v>
      </c>
      <c r="G22" s="23"/>
      <c r="H22" s="23"/>
      <c r="I22" s="23"/>
      <c r="J22" s="23">
        <f>J18*J20</f>
        <v>24.509528299446792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5392.7479999999996</v>
      </c>
      <c r="C30" s="39">
        <f>IF(ISERROR(B30*3.6/1000000/'E Balans VL '!Z18*100),0,B30*3.6/1000000/'E Balans VL '!Z18*100)</f>
        <v>0.75480500468752998</v>
      </c>
      <c r="D30" s="237" t="s">
        <v>692</v>
      </c>
    </row>
    <row r="31" spans="1:18">
      <c r="A31" s="6" t="s">
        <v>33</v>
      </c>
      <c r="B31" s="37">
        <f>IF( ISERROR(IND_ander_ele_kWh/1000),0,IND_ander_ele_kWh/1000)</f>
        <v>2777.5129999999999</v>
      </c>
      <c r="C31" s="39">
        <f>IF(ISERROR(B31*3.6/1000000/'E Balans VL '!Z19*100),0,B31*3.6/1000000/'E Balans VL '!Z19*100)</f>
        <v>0.12157129343337601</v>
      </c>
      <c r="D31" s="237" t="s">
        <v>692</v>
      </c>
    </row>
    <row r="32" spans="1:18">
      <c r="A32" s="171" t="s">
        <v>41</v>
      </c>
      <c r="B32" s="37">
        <f>IF( ISERROR(IND_voed_ele_kWh/1000),0,IND_voed_ele_kWh/1000)</f>
        <v>792.25490000000002</v>
      </c>
      <c r="C32" s="39">
        <f>IF(ISERROR(B32*3.6/1000000/'E Balans VL '!Z20*100),0,B32*3.6/1000000/'E Balans VL '!Z20*100)</f>
        <v>0.19613600375249909</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410.39759999999995</v>
      </c>
      <c r="C35" s="39">
        <f>IF(ISERROR(B35*3.6/1000000/'E Balans VL '!Z22*100),0,B35*3.6/1000000/'E Balans VL '!Z22*100)</f>
        <v>1.1645409555778072E-2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11983.491</v>
      </c>
      <c r="C37" s="39">
        <f>IF(ISERROR(B37*3.6/1000000/'E Balans VL '!Z15*100),0,B37*3.6/1000000/'E Balans VL '!Z15*100)</f>
        <v>8.8855534104521822E-2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4590.7923000000001</v>
      </c>
      <c r="C5" s="17">
        <f>'Eigen informatie GS &amp; warmtenet'!B60</f>
        <v>0</v>
      </c>
      <c r="D5" s="30">
        <f>IF(ISERROR(SUM(LB_lb_gas_kWh,LB_rest_gas_kWh,onbekend_gas_kWh)/1000),0,SUM(LB_lb_gas_kWh,LB_rest_gas_kWh,onbekend_gas_kWh)/1000)*0.902</f>
        <v>48318.314740913404</v>
      </c>
      <c r="E5" s="17">
        <f>B17*'E Balans VL '!I25/3.6*1000000/100</f>
        <v>42.521841083162762</v>
      </c>
      <c r="F5" s="17">
        <f>B17*('E Balans VL '!L25/3.6*1000000+'E Balans VL '!N25/3.6*1000000)/100</f>
        <v>11647.714610135674</v>
      </c>
      <c r="G5" s="18"/>
      <c r="H5" s="17"/>
      <c r="I5" s="17"/>
      <c r="J5" s="17">
        <f>('E Balans VL '!D25+'E Balans VL '!E25)/3.6*1000000*landbouw!B17/100</f>
        <v>703.81969298159743</v>
      </c>
      <c r="K5" s="17"/>
      <c r="L5" s="17">
        <f>L6*(-1)</f>
        <v>0</v>
      </c>
      <c r="M5" s="17"/>
      <c r="N5" s="17">
        <f>N6*(-1)</f>
        <v>0</v>
      </c>
      <c r="O5" s="17"/>
      <c r="P5" s="17"/>
      <c r="R5" s="32"/>
    </row>
    <row r="6" spans="1:18">
      <c r="A6" s="16" t="s">
        <v>494</v>
      </c>
      <c r="B6" s="17" t="s">
        <v>211</v>
      </c>
      <c r="C6" s="17">
        <f>'lokale energieproductie'!O91+'lokale energieproductie'!O60</f>
        <v>27006.428571428572</v>
      </c>
      <c r="D6" s="310">
        <f>('lokale energieproductie'!P60+'lokale energieproductie'!P91)*(-1)</f>
        <v>-54012.857142857145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4590.7923000000001</v>
      </c>
      <c r="C8" s="21">
        <f>C5+C6</f>
        <v>27006.428571428572</v>
      </c>
      <c r="D8" s="21">
        <f>MAX((D5+D6),0)</f>
        <v>0</v>
      </c>
      <c r="E8" s="21">
        <f>MAX((E5+E6),0)</f>
        <v>42.521841083162762</v>
      </c>
      <c r="F8" s="21">
        <f>MAX((F5+F6),0)</f>
        <v>11647.714610135674</v>
      </c>
      <c r="G8" s="21"/>
      <c r="H8" s="21"/>
      <c r="I8" s="21"/>
      <c r="J8" s="21">
        <f>MAX((J5+J6),0)</f>
        <v>703.81969298159743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0.19374089890317309</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889.42422687976546</v>
      </c>
      <c r="C12" s="23">
        <f ca="1">C8*C10</f>
        <v>6417.9983193277312</v>
      </c>
      <c r="D12" s="23">
        <f>D8*D10</f>
        <v>0</v>
      </c>
      <c r="E12" s="23">
        <f>E8*E10</f>
        <v>9.6524579258779468</v>
      </c>
      <c r="F12" s="23">
        <f>F8*F10</f>
        <v>3109.9398009062252</v>
      </c>
      <c r="G12" s="23"/>
      <c r="H12" s="23"/>
      <c r="I12" s="23"/>
      <c r="J12" s="23">
        <f>J8*J10</f>
        <v>249.15217131548548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0.65271332343783106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768.02308442927483</v>
      </c>
      <c r="C26" s="247">
        <f>B26*'GWP N2O_CH4'!B5</f>
        <v>16128.484773014772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452.52977797862633</v>
      </c>
      <c r="C27" s="247">
        <f>B27*'GWP N2O_CH4'!B5</f>
        <v>9503.1253375511533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12.179971507090846</v>
      </c>
      <c r="C28" s="247">
        <f>B28*'GWP N2O_CH4'!B4</f>
        <v>3775.7911671981624</v>
      </c>
      <c r="D28" s="50"/>
    </row>
    <row r="29" spans="1:4">
      <c r="A29" s="41" t="s">
        <v>277</v>
      </c>
      <c r="B29" s="247">
        <f>B34*'ha_N2O bodem landbouw'!B4</f>
        <v>23.420806928171217</v>
      </c>
      <c r="C29" s="247">
        <f>B29*'GWP N2O_CH4'!B4</f>
        <v>7260.4501477330768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5.2528743823641198E-3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1.0142166278394599E-4</v>
      </c>
      <c r="C5" s="464" t="s">
        <v>211</v>
      </c>
      <c r="D5" s="449">
        <f>SUM(D6:D11)</f>
        <v>2.6431795939890513E-4</v>
      </c>
      <c r="E5" s="449">
        <f>SUM(E6:E11)</f>
        <v>1.8840347998141764E-3</v>
      </c>
      <c r="F5" s="462" t="s">
        <v>211</v>
      </c>
      <c r="G5" s="449">
        <f>SUM(G6:G11)</f>
        <v>0.59941438966633087</v>
      </c>
      <c r="H5" s="449">
        <f>SUM(H6:H11)</f>
        <v>0.10206151251630825</v>
      </c>
      <c r="I5" s="464" t="s">
        <v>211</v>
      </c>
      <c r="J5" s="464" t="s">
        <v>211</v>
      </c>
      <c r="K5" s="464" t="s">
        <v>211</v>
      </c>
      <c r="L5" s="464" t="s">
        <v>211</v>
      </c>
      <c r="M5" s="449">
        <f>SUM(M6:M11)</f>
        <v>3.7815208116005375E-2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3.879967228199447E-5</v>
      </c>
      <c r="C6" s="450"/>
      <c r="D6" s="963">
        <f>vkm_2011_GW_PW*SUMIFS(TableVerdeelsleutelVkm[CNG],TableVerdeelsleutelVkm[Voertuigtype],"Lichte voertuigen")*SUMIFS(TableECFTransport[EnergieConsumptieFactor (PJ per km)],TableECFTransport[Index],CONCATENATE($A6,"_CNG_CNG"))</f>
        <v>8.9747913655218993E-5</v>
      </c>
      <c r="E6" s="963">
        <f>vkm_2011_GW_PW*SUMIFS(TableVerdeelsleutelVkm[LPG],TableVerdeelsleutelVkm[Voertuigtype],"Lichte voertuigen")*SUMIFS(TableECFTransport[EnergieConsumptieFactor (PJ per km)],TableECFTransport[Index],CONCATENATE($A6,"_LPG_LPG"))</f>
        <v>5.8438421647583191E-4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0.12140149754068845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3.4220573319816101E-2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8.0759787434577443E-3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8.2976671945309277E-2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2.837651487873716E-5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4.8006708051570738E-3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1.3621780874338621E-5</v>
      </c>
      <c r="C8" s="450"/>
      <c r="D8" s="452">
        <f>vkm_2011_NGW_PW*SUMIFS(TableVerdeelsleutelVkm[CNG],TableVerdeelsleutelVkm[Voertuigtype],"Lichte voertuigen")*SUMIFS(TableECFTransport[EnergieConsumptieFactor (PJ per km)],TableECFTransport[Index],CONCATENATE($A8,"_CNG_CNG"))</f>
        <v>5.5729644679700392E-5</v>
      </c>
      <c r="E8" s="452">
        <f>vkm_2011_NGW_PW*SUMIFS(TableVerdeelsleutelVkm[LPG],TableVerdeelsleutelVkm[Voertuigtype],"Lichte voertuigen")*SUMIFS(TableECFTransport[EnergieConsumptieFactor (PJ per km)],TableECFTransport[Index],CONCATENATE($A8,"_LPG_LPG"))</f>
        <v>3.3489844892612835E-4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6.5036786794023665E-2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2.0546789462564663E-2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4.3946020174403513E-3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1.2902154096315096E-2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4.1749867724422288E-6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7.4645544135746884E-4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4.9000209627612901E-5</v>
      </c>
      <c r="C10" s="450"/>
      <c r="D10" s="452">
        <f>vkm_2011_SW_PW*SUMIFS(TableVerdeelsleutelVkm[CNG],TableVerdeelsleutelVkm[Voertuigtype],"Lichte voertuigen")*SUMIFS(TableECFTransport[EnergieConsumptieFactor (PJ per km)],TableECFTransport[Index],CONCATENATE($A10,"_CNG_CNG"))</f>
        <v>1.1884040106398573E-4</v>
      </c>
      <c r="E10" s="452">
        <f>vkm_2011_SW_PW*SUMIFS(TableVerdeelsleutelVkm[LPG],TableVerdeelsleutelVkm[Voertuigtype],"Lichte voertuigen")*SUMIFS(TableECFTransport[EnergieConsumptieFactor (PJ per km)],TableECFTransport[Index],CONCATENATE($A10,"_LPG_LPG"))</f>
        <v>9.6475213441221599E-4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0.18043634956618398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4.7211230170798528E-2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1.1890779866841797E-2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0.13666092972381039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5.0368061477778309E-5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7.9067212417509442E-3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28.172684106651662</v>
      </c>
      <c r="C14" s="21"/>
      <c r="D14" s="21">
        <f t="shared" ref="D14:M14" si="0">((D5)*10^9/3600)+D12</f>
        <v>73.421655388584753</v>
      </c>
      <c r="E14" s="21">
        <f t="shared" si="0"/>
        <v>523.34299994838238</v>
      </c>
      <c r="F14" s="21"/>
      <c r="G14" s="21">
        <f t="shared" si="0"/>
        <v>166503.99712953635</v>
      </c>
      <c r="H14" s="21">
        <f t="shared" si="0"/>
        <v>28350.420143418956</v>
      </c>
      <c r="I14" s="21"/>
      <c r="J14" s="21"/>
      <c r="K14" s="21"/>
      <c r="L14" s="21"/>
      <c r="M14" s="21">
        <f t="shared" si="0"/>
        <v>10504.22447666816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0.19374089890317309</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5.4582011433378312</v>
      </c>
      <c r="C18" s="23"/>
      <c r="D18" s="23">
        <f t="shared" ref="D18:M18" si="1">D14*D16</f>
        <v>14.831174388494121</v>
      </c>
      <c r="E18" s="23">
        <f t="shared" si="1"/>
        <v>118.79886098828281</v>
      </c>
      <c r="F18" s="23"/>
      <c r="G18" s="23">
        <f t="shared" si="1"/>
        <v>44456.567233586211</v>
      </c>
      <c r="H18" s="23">
        <f t="shared" si="1"/>
        <v>7059.2546157113202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6.6775438486308724E-3</v>
      </c>
      <c r="H50" s="321">
        <f t="shared" si="2"/>
        <v>0</v>
      </c>
      <c r="I50" s="321">
        <f t="shared" si="2"/>
        <v>0</v>
      </c>
      <c r="J50" s="321">
        <f t="shared" si="2"/>
        <v>0</v>
      </c>
      <c r="K50" s="321">
        <f t="shared" si="2"/>
        <v>0</v>
      </c>
      <c r="L50" s="321">
        <f t="shared" si="2"/>
        <v>0</v>
      </c>
      <c r="M50" s="321">
        <f t="shared" si="2"/>
        <v>3.8080085959554653E-4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6.6775438486308724E-3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3.8080085959554653E-4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1854.8732912863534</v>
      </c>
      <c r="H54" s="21">
        <f t="shared" si="3"/>
        <v>0</v>
      </c>
      <c r="I54" s="21">
        <f t="shared" si="3"/>
        <v>0</v>
      </c>
      <c r="J54" s="21">
        <f t="shared" si="3"/>
        <v>0</v>
      </c>
      <c r="K54" s="21">
        <f t="shared" si="3"/>
        <v>0</v>
      </c>
      <c r="L54" s="21">
        <f t="shared" si="3"/>
        <v>0</v>
      </c>
      <c r="M54" s="21">
        <f t="shared" si="3"/>
        <v>105.77801655431848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0.19374089890317309</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495.25116877345636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3153.4931303428648</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10359.999137276045</v>
      </c>
      <c r="C6" s="1216"/>
      <c r="D6" s="1201"/>
      <c r="E6" s="1201"/>
      <c r="F6" s="1219"/>
      <c r="G6" s="1222"/>
      <c r="H6" s="1213"/>
      <c r="I6" s="1201"/>
      <c r="J6" s="1201"/>
      <c r="K6" s="1201"/>
      <c r="L6" s="1205"/>
      <c r="M6" s="576"/>
      <c r="N6" s="1179"/>
      <c r="O6" s="1180"/>
      <c r="Q6" s="574"/>
      <c r="R6" s="1167"/>
      <c r="S6" s="1167"/>
    </row>
    <row r="7" spans="1:19" s="564" customFormat="1">
      <c r="A7" s="577" t="s">
        <v>252</v>
      </c>
      <c r="B7" s="578">
        <f>N57</f>
        <v>18904.5</v>
      </c>
      <c r="C7" s="579">
        <f>B100</f>
        <v>22240.588235294119</v>
      </c>
      <c r="D7" s="580"/>
      <c r="E7" s="580">
        <f>E100</f>
        <v>0</v>
      </c>
      <c r="F7" s="581"/>
      <c r="G7" s="582"/>
      <c r="H7" s="580">
        <f>I100</f>
        <v>0</v>
      </c>
      <c r="I7" s="580">
        <f>G100+F100</f>
        <v>0</v>
      </c>
      <c r="J7" s="580">
        <f>H100+D100+C100</f>
        <v>0</v>
      </c>
      <c r="K7" s="580"/>
      <c r="L7" s="583"/>
      <c r="M7" s="584">
        <f>C7*$C$11+D7*$D$11+E7*$E$11+F7*$F$11+G7*$G$11+H7*$H$11+I7*$I$11+J7*$J$11</f>
        <v>4492.5988235294126</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32417.992267618909</v>
      </c>
      <c r="C9" s="595">
        <f t="shared" ref="C9:L9" si="0">SUM(C7:C8)</f>
        <v>22240.588235294119</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4492.5988235294126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27006.428571428572</v>
      </c>
      <c r="C16" s="611">
        <f>B101</f>
        <v>31772.268907563026</v>
      </c>
      <c r="D16" s="612"/>
      <c r="E16" s="612">
        <f>E101</f>
        <v>0</v>
      </c>
      <c r="F16" s="613"/>
      <c r="G16" s="614"/>
      <c r="H16" s="611">
        <f>I101</f>
        <v>0</v>
      </c>
      <c r="I16" s="612">
        <f>G101+F101</f>
        <v>0</v>
      </c>
      <c r="J16" s="612">
        <f>H101+D101+C101</f>
        <v>0</v>
      </c>
      <c r="K16" s="612"/>
      <c r="L16" s="615"/>
      <c r="M16" s="616">
        <f>C16*$C$21+E16*$E$21+H16*$H$21+I16*$I$21+J16*$J$21+D16*$D$21+F16*$F$21+G16*$G$21+K16*$K$21+L16*$L$21</f>
        <v>6417.9983193277312</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27006.428571428572</v>
      </c>
      <c r="C19" s="594">
        <f>SUM(C16:C18)</f>
        <v>31772.268907563026</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6417.9983193277312</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31040</v>
      </c>
      <c r="C27" s="852">
        <v>8210</v>
      </c>
      <c r="D27" s="673" t="s">
        <v>834</v>
      </c>
      <c r="E27" s="672" t="s">
        <v>835</v>
      </c>
      <c r="F27" s="672" t="s">
        <v>836</v>
      </c>
      <c r="G27" s="672" t="s">
        <v>837</v>
      </c>
      <c r="H27" s="672" t="s">
        <v>838</v>
      </c>
      <c r="I27" s="672" t="s">
        <v>835</v>
      </c>
      <c r="J27" s="851">
        <v>41039</v>
      </c>
      <c r="K27" s="851">
        <v>38899</v>
      </c>
      <c r="L27" s="672" t="s">
        <v>839</v>
      </c>
      <c r="M27" s="672">
        <v>1156</v>
      </c>
      <c r="N27" s="672">
        <v>5202</v>
      </c>
      <c r="O27" s="672">
        <v>7431.4285714285716</v>
      </c>
      <c r="P27" s="672">
        <v>14862.857142857143</v>
      </c>
      <c r="Q27" s="672">
        <v>0</v>
      </c>
      <c r="R27" s="672">
        <v>0</v>
      </c>
      <c r="S27" s="672">
        <v>0</v>
      </c>
      <c r="T27" s="672">
        <v>0</v>
      </c>
      <c r="U27" s="672">
        <v>0</v>
      </c>
      <c r="V27" s="672">
        <v>0</v>
      </c>
      <c r="W27" s="672">
        <v>0</v>
      </c>
      <c r="X27" s="672">
        <v>10</v>
      </c>
      <c r="Y27" s="672" t="s">
        <v>112</v>
      </c>
      <c r="Z27" s="674" t="s">
        <v>112</v>
      </c>
    </row>
    <row r="28" spans="1:26" s="626" customFormat="1" ht="25.5">
      <c r="A28" s="625"/>
      <c r="B28" s="852">
        <v>31040</v>
      </c>
      <c r="C28" s="852">
        <v>8210</v>
      </c>
      <c r="D28" s="673" t="s">
        <v>840</v>
      </c>
      <c r="E28" s="672" t="s">
        <v>841</v>
      </c>
      <c r="F28" s="672" t="s">
        <v>842</v>
      </c>
      <c r="G28" s="672" t="s">
        <v>837</v>
      </c>
      <c r="H28" s="672" t="s">
        <v>838</v>
      </c>
      <c r="I28" s="672" t="s">
        <v>841</v>
      </c>
      <c r="J28" s="851">
        <v>41627</v>
      </c>
      <c r="K28" s="851">
        <v>40641</v>
      </c>
      <c r="L28" s="672" t="s">
        <v>839</v>
      </c>
      <c r="M28" s="672">
        <v>3045</v>
      </c>
      <c r="N28" s="672">
        <v>13702.5</v>
      </c>
      <c r="O28" s="672">
        <v>19575</v>
      </c>
      <c r="P28" s="672">
        <v>39150</v>
      </c>
      <c r="Q28" s="672">
        <v>0</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4201</v>
      </c>
      <c r="N57" s="630">
        <f>SUM(N27:N56)</f>
        <v>18904.5</v>
      </c>
      <c r="O57" s="630">
        <f t="shared" ref="O57:W57" si="2">SUM(O27:O56)</f>
        <v>27006.428571428572</v>
      </c>
      <c r="P57" s="630">
        <f t="shared" si="2"/>
        <v>54012.857142857145</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4201</v>
      </c>
      <c r="N60" s="635">
        <f t="shared" ref="N60:W60" si="4">SUMIF($Z$27:$Z$56,"landbouw",N27:N56)</f>
        <v>18904.5</v>
      </c>
      <c r="O60" s="635">
        <f t="shared" si="4"/>
        <v>27006.428571428572</v>
      </c>
      <c r="P60" s="635">
        <f t="shared" si="4"/>
        <v>54012.857142857145</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22240.588235294119</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31772.268907563026</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26105.984799999998</v>
      </c>
      <c r="D10" s="719">
        <f ca="1">tertiair!C16</f>
        <v>0</v>
      </c>
      <c r="E10" s="719">
        <f ca="1">tertiair!D16</f>
        <v>26051.188499348104</v>
      </c>
      <c r="F10" s="719">
        <f>tertiair!E16</f>
        <v>240.53669588813113</v>
      </c>
      <c r="G10" s="719">
        <f ca="1">tertiair!F16</f>
        <v>3782.3161652731192</v>
      </c>
      <c r="H10" s="719">
        <f>tertiair!G16</f>
        <v>0</v>
      </c>
      <c r="I10" s="719">
        <f>tertiair!H16</f>
        <v>0</v>
      </c>
      <c r="J10" s="719">
        <f>tertiair!I16</f>
        <v>0</v>
      </c>
      <c r="K10" s="719">
        <f>tertiair!J16</f>
        <v>0</v>
      </c>
      <c r="L10" s="719">
        <f>tertiair!K16</f>
        <v>0</v>
      </c>
      <c r="M10" s="719">
        <f ca="1">tertiair!L16</f>
        <v>0</v>
      </c>
      <c r="N10" s="719">
        <f>tertiair!M16</f>
        <v>0</v>
      </c>
      <c r="O10" s="719">
        <f ca="1">tertiair!N16</f>
        <v>3835.3708973239932</v>
      </c>
      <c r="P10" s="719">
        <f>tertiair!O16</f>
        <v>3.1266666666666669</v>
      </c>
      <c r="Q10" s="720">
        <f>tertiair!P16</f>
        <v>76.266666666666666</v>
      </c>
      <c r="R10" s="722">
        <f ca="1">SUM(C10:Q10)</f>
        <v>60094.790391166673</v>
      </c>
      <c r="S10" s="67"/>
    </row>
    <row r="11" spans="1:19" s="475" customFormat="1">
      <c r="A11" s="871" t="s">
        <v>225</v>
      </c>
      <c r="B11" s="876"/>
      <c r="C11" s="719">
        <f>huishoudens!B8</f>
        <v>45932.789987340824</v>
      </c>
      <c r="D11" s="719">
        <f>huishoudens!C8</f>
        <v>0</v>
      </c>
      <c r="E11" s="719">
        <f>huishoudens!D8</f>
        <v>70611.961070520134</v>
      </c>
      <c r="F11" s="719">
        <f>huishoudens!E8</f>
        <v>5682.7413483504033</v>
      </c>
      <c r="G11" s="719">
        <f>huishoudens!F8</f>
        <v>30711.527871474478</v>
      </c>
      <c r="H11" s="719">
        <f>huishoudens!G8</f>
        <v>0</v>
      </c>
      <c r="I11" s="719">
        <f>huishoudens!H8</f>
        <v>0</v>
      </c>
      <c r="J11" s="719">
        <f>huishoudens!I8</f>
        <v>0</v>
      </c>
      <c r="K11" s="719">
        <f>huishoudens!J8</f>
        <v>2652.1364709252266</v>
      </c>
      <c r="L11" s="719">
        <f>huishoudens!K8</f>
        <v>0</v>
      </c>
      <c r="M11" s="719">
        <f>huishoudens!L8</f>
        <v>0</v>
      </c>
      <c r="N11" s="719">
        <f>huishoudens!M8</f>
        <v>0</v>
      </c>
      <c r="O11" s="719">
        <f>huishoudens!N8</f>
        <v>21455.500897800906</v>
      </c>
      <c r="P11" s="719">
        <f>huishoudens!O8</f>
        <v>447.11333333333334</v>
      </c>
      <c r="Q11" s="720">
        <f>huishoudens!P8</f>
        <v>591.06666666666661</v>
      </c>
      <c r="R11" s="722">
        <f>SUM(C11:Q11)</f>
        <v>178084.83764641199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21356.404500000001</v>
      </c>
      <c r="D13" s="719">
        <f>industrie!C18</f>
        <v>0</v>
      </c>
      <c r="E13" s="719">
        <f>industrie!D18</f>
        <v>52809.438705181121</v>
      </c>
      <c r="F13" s="719">
        <f>industrie!E18</f>
        <v>1517.2277867609505</v>
      </c>
      <c r="G13" s="719">
        <f>industrie!F18</f>
        <v>8115.4696976689111</v>
      </c>
      <c r="H13" s="719">
        <f>industrie!G18</f>
        <v>0</v>
      </c>
      <c r="I13" s="719">
        <f>industrie!H18</f>
        <v>0</v>
      </c>
      <c r="J13" s="719">
        <f>industrie!I18</f>
        <v>0</v>
      </c>
      <c r="K13" s="719">
        <f>industrie!J18</f>
        <v>69.235955648154786</v>
      </c>
      <c r="L13" s="719">
        <f>industrie!K18</f>
        <v>0</v>
      </c>
      <c r="M13" s="719">
        <f>industrie!L18</f>
        <v>0</v>
      </c>
      <c r="N13" s="719">
        <f>industrie!M18</f>
        <v>0</v>
      </c>
      <c r="O13" s="719">
        <f>industrie!N18</f>
        <v>3877.0379860016965</v>
      </c>
      <c r="P13" s="719">
        <f>industrie!O18</f>
        <v>0</v>
      </c>
      <c r="Q13" s="720">
        <f>industrie!P18</f>
        <v>0</v>
      </c>
      <c r="R13" s="722">
        <f>SUM(C13:Q13)</f>
        <v>87744.814631260844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93395.179287340827</v>
      </c>
      <c r="D15" s="724">
        <f t="shared" ref="D15:Q15" ca="1" si="0">SUM(D9:D14)</f>
        <v>0</v>
      </c>
      <c r="E15" s="724">
        <f t="shared" ca="1" si="0"/>
        <v>149472.58827504935</v>
      </c>
      <c r="F15" s="724">
        <f t="shared" si="0"/>
        <v>7440.5058309994856</v>
      </c>
      <c r="G15" s="724">
        <f t="shared" ca="1" si="0"/>
        <v>42609.313734416508</v>
      </c>
      <c r="H15" s="724">
        <f t="shared" si="0"/>
        <v>0</v>
      </c>
      <c r="I15" s="724">
        <f t="shared" si="0"/>
        <v>0</v>
      </c>
      <c r="J15" s="724">
        <f t="shared" si="0"/>
        <v>0</v>
      </c>
      <c r="K15" s="724">
        <f t="shared" si="0"/>
        <v>2721.3724265733813</v>
      </c>
      <c r="L15" s="724">
        <f t="shared" si="0"/>
        <v>0</v>
      </c>
      <c r="M15" s="724">
        <f t="shared" ca="1" si="0"/>
        <v>0</v>
      </c>
      <c r="N15" s="724">
        <f t="shared" si="0"/>
        <v>0</v>
      </c>
      <c r="O15" s="724">
        <f t="shared" ca="1" si="0"/>
        <v>29167.909781126596</v>
      </c>
      <c r="P15" s="724">
        <f t="shared" si="0"/>
        <v>450.24</v>
      </c>
      <c r="Q15" s="725">
        <f t="shared" si="0"/>
        <v>667.33333333333326</v>
      </c>
      <c r="R15" s="726">
        <f ca="1">SUM(R9:R14)</f>
        <v>325924.44266883947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1854.8732912863534</v>
      </c>
      <c r="I18" s="719">
        <f>transport!H54</f>
        <v>0</v>
      </c>
      <c r="J18" s="719">
        <f>transport!I54</f>
        <v>0</v>
      </c>
      <c r="K18" s="719">
        <f>transport!J54</f>
        <v>0</v>
      </c>
      <c r="L18" s="719">
        <f>transport!K54</f>
        <v>0</v>
      </c>
      <c r="M18" s="719">
        <f>transport!L54</f>
        <v>0</v>
      </c>
      <c r="N18" s="719">
        <f>transport!M54</f>
        <v>105.77801655431848</v>
      </c>
      <c r="O18" s="719">
        <f>transport!N54</f>
        <v>0</v>
      </c>
      <c r="P18" s="719">
        <f>transport!O54</f>
        <v>0</v>
      </c>
      <c r="Q18" s="720">
        <f>transport!P54</f>
        <v>0</v>
      </c>
      <c r="R18" s="722">
        <f>SUM(C18:Q18)</f>
        <v>1960.651307840672</v>
      </c>
      <c r="S18" s="67"/>
    </row>
    <row r="19" spans="1:19" s="475" customFormat="1" ht="15" thickBot="1">
      <c r="A19" s="871" t="s">
        <v>307</v>
      </c>
      <c r="B19" s="876"/>
      <c r="C19" s="728">
        <f>transport!B14</f>
        <v>28.172684106651662</v>
      </c>
      <c r="D19" s="728">
        <f>transport!C14</f>
        <v>0</v>
      </c>
      <c r="E19" s="728">
        <f>transport!D14</f>
        <v>73.421655388584753</v>
      </c>
      <c r="F19" s="728">
        <f>transport!E14</f>
        <v>523.34299994838238</v>
      </c>
      <c r="G19" s="728">
        <f>transport!F14</f>
        <v>0</v>
      </c>
      <c r="H19" s="728">
        <f>transport!G14</f>
        <v>166503.99712953635</v>
      </c>
      <c r="I19" s="728">
        <f>transport!H14</f>
        <v>28350.420143418956</v>
      </c>
      <c r="J19" s="728">
        <f>transport!I14</f>
        <v>0</v>
      </c>
      <c r="K19" s="728">
        <f>transport!J14</f>
        <v>0</v>
      </c>
      <c r="L19" s="728">
        <f>transport!K14</f>
        <v>0</v>
      </c>
      <c r="M19" s="728">
        <f>transport!L14</f>
        <v>0</v>
      </c>
      <c r="N19" s="728">
        <f>transport!M14</f>
        <v>10504.22447666816</v>
      </c>
      <c r="O19" s="728">
        <f>transport!N14</f>
        <v>0</v>
      </c>
      <c r="P19" s="728">
        <f>transport!O14</f>
        <v>0</v>
      </c>
      <c r="Q19" s="729">
        <f>transport!P14</f>
        <v>0</v>
      </c>
      <c r="R19" s="730">
        <f>SUM(C19:Q19)</f>
        <v>205983.57908906709</v>
      </c>
      <c r="S19" s="67"/>
    </row>
    <row r="20" spans="1:19" s="475" customFormat="1" ht="15.75" thickBot="1">
      <c r="A20" s="731" t="s">
        <v>230</v>
      </c>
      <c r="B20" s="879"/>
      <c r="C20" s="874">
        <f>SUM(C17:C19)</f>
        <v>28.172684106651662</v>
      </c>
      <c r="D20" s="732">
        <f t="shared" ref="D20:R20" si="1">SUM(D17:D19)</f>
        <v>0</v>
      </c>
      <c r="E20" s="732">
        <f t="shared" si="1"/>
        <v>73.421655388584753</v>
      </c>
      <c r="F20" s="732">
        <f t="shared" si="1"/>
        <v>523.34299994838238</v>
      </c>
      <c r="G20" s="732">
        <f t="shared" si="1"/>
        <v>0</v>
      </c>
      <c r="H20" s="732">
        <f t="shared" si="1"/>
        <v>168358.8704208227</v>
      </c>
      <c r="I20" s="732">
        <f t="shared" si="1"/>
        <v>28350.420143418956</v>
      </c>
      <c r="J20" s="732">
        <f t="shared" si="1"/>
        <v>0</v>
      </c>
      <c r="K20" s="732">
        <f t="shared" si="1"/>
        <v>0</v>
      </c>
      <c r="L20" s="732">
        <f t="shared" si="1"/>
        <v>0</v>
      </c>
      <c r="M20" s="732">
        <f t="shared" si="1"/>
        <v>0</v>
      </c>
      <c r="N20" s="732">
        <f t="shared" si="1"/>
        <v>10610.002493222479</v>
      </c>
      <c r="O20" s="732">
        <f t="shared" si="1"/>
        <v>0</v>
      </c>
      <c r="P20" s="732">
        <f t="shared" si="1"/>
        <v>0</v>
      </c>
      <c r="Q20" s="733">
        <f t="shared" si="1"/>
        <v>0</v>
      </c>
      <c r="R20" s="734">
        <f t="shared" si="1"/>
        <v>207944.23039690778</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4590.7923000000001</v>
      </c>
      <c r="D22" s="728">
        <f>+landbouw!C8</f>
        <v>27006.428571428572</v>
      </c>
      <c r="E22" s="728">
        <f>+landbouw!D8</f>
        <v>0</v>
      </c>
      <c r="F22" s="728">
        <f>+landbouw!E8</f>
        <v>42.521841083162762</v>
      </c>
      <c r="G22" s="728">
        <f>+landbouw!F8</f>
        <v>11647.714610135674</v>
      </c>
      <c r="H22" s="728">
        <f>+landbouw!G8</f>
        <v>0</v>
      </c>
      <c r="I22" s="728">
        <f>+landbouw!H8</f>
        <v>0</v>
      </c>
      <c r="J22" s="728">
        <f>+landbouw!I8</f>
        <v>0</v>
      </c>
      <c r="K22" s="728">
        <f>+landbouw!J8</f>
        <v>703.81969298159743</v>
      </c>
      <c r="L22" s="728">
        <f>+landbouw!K8</f>
        <v>0</v>
      </c>
      <c r="M22" s="728">
        <f>+landbouw!L8</f>
        <v>0</v>
      </c>
      <c r="N22" s="728">
        <f>+landbouw!M8</f>
        <v>0</v>
      </c>
      <c r="O22" s="728">
        <f>+landbouw!N8</f>
        <v>0</v>
      </c>
      <c r="P22" s="728">
        <f>+landbouw!O8</f>
        <v>0</v>
      </c>
      <c r="Q22" s="729">
        <f>+landbouw!P8</f>
        <v>0</v>
      </c>
      <c r="R22" s="730">
        <f>SUM(C22:Q22)</f>
        <v>43991.277015629006</v>
      </c>
      <c r="S22" s="67"/>
    </row>
    <row r="23" spans="1:19" s="475" customFormat="1" ht="17.25" thickTop="1" thickBot="1">
      <c r="A23" s="735" t="s">
        <v>116</v>
      </c>
      <c r="B23" s="865"/>
      <c r="C23" s="736">
        <f ca="1">C20+C15+C22</f>
        <v>98014.144271447483</v>
      </c>
      <c r="D23" s="736">
        <f t="shared" ref="D23:Q23" ca="1" si="2">D20+D15+D22</f>
        <v>27006.428571428572</v>
      </c>
      <c r="E23" s="736">
        <f t="shared" ca="1" si="2"/>
        <v>149546.00993043793</v>
      </c>
      <c r="F23" s="736">
        <f t="shared" si="2"/>
        <v>8006.3706720310311</v>
      </c>
      <c r="G23" s="736">
        <f t="shared" ca="1" si="2"/>
        <v>54257.028344552178</v>
      </c>
      <c r="H23" s="736">
        <f t="shared" si="2"/>
        <v>168358.8704208227</v>
      </c>
      <c r="I23" s="736">
        <f t="shared" si="2"/>
        <v>28350.420143418956</v>
      </c>
      <c r="J23" s="736">
        <f t="shared" si="2"/>
        <v>0</v>
      </c>
      <c r="K23" s="736">
        <f t="shared" si="2"/>
        <v>3425.1921195549785</v>
      </c>
      <c r="L23" s="736">
        <f t="shared" si="2"/>
        <v>0</v>
      </c>
      <c r="M23" s="736">
        <f t="shared" ca="1" si="2"/>
        <v>0</v>
      </c>
      <c r="N23" s="736">
        <f t="shared" si="2"/>
        <v>10610.002493222479</v>
      </c>
      <c r="O23" s="736">
        <f t="shared" ca="1" si="2"/>
        <v>29167.909781126596</v>
      </c>
      <c r="P23" s="736">
        <f t="shared" si="2"/>
        <v>450.24</v>
      </c>
      <c r="Q23" s="737">
        <f t="shared" si="2"/>
        <v>667.33333333333326</v>
      </c>
      <c r="R23" s="738">
        <f ca="1">R20+R15+R22</f>
        <v>577859.95008137624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5057.7969619045734</v>
      </c>
      <c r="D36" s="719">
        <f ca="1">tertiair!C20</f>
        <v>0</v>
      </c>
      <c r="E36" s="719">
        <f ca="1">tertiair!D20</f>
        <v>5262.3400768683168</v>
      </c>
      <c r="F36" s="719">
        <f>tertiair!E20</f>
        <v>54.60182996660577</v>
      </c>
      <c r="G36" s="719">
        <f ca="1">tertiair!F20</f>
        <v>1009.8784161279228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11384.61728486742</v>
      </c>
    </row>
    <row r="37" spans="1:18">
      <c r="A37" s="886" t="s">
        <v>225</v>
      </c>
      <c r="B37" s="893"/>
      <c r="C37" s="719">
        <f ca="1">huishoudens!B12</f>
        <v>8899.0600212780791</v>
      </c>
      <c r="D37" s="719">
        <f ca="1">huishoudens!C12</f>
        <v>0</v>
      </c>
      <c r="E37" s="719">
        <f>huishoudens!D12</f>
        <v>14263.616136245068</v>
      </c>
      <c r="F37" s="719">
        <f>huishoudens!E12</f>
        <v>1289.9822860755417</v>
      </c>
      <c r="G37" s="719">
        <f>huishoudens!F12</f>
        <v>8199.9779416836864</v>
      </c>
      <c r="H37" s="719">
        <f>huishoudens!G12</f>
        <v>0</v>
      </c>
      <c r="I37" s="719">
        <f>huishoudens!H12</f>
        <v>0</v>
      </c>
      <c r="J37" s="719">
        <f>huishoudens!I12</f>
        <v>0</v>
      </c>
      <c r="K37" s="719">
        <f>huishoudens!J12</f>
        <v>938.85631070753016</v>
      </c>
      <c r="L37" s="719">
        <f>huishoudens!K12</f>
        <v>0</v>
      </c>
      <c r="M37" s="719">
        <f>huishoudens!L12</f>
        <v>0</v>
      </c>
      <c r="N37" s="719">
        <f>huishoudens!M12</f>
        <v>0</v>
      </c>
      <c r="O37" s="719">
        <f>huishoudens!N12</f>
        <v>0</v>
      </c>
      <c r="P37" s="719">
        <f>huishoudens!O12</f>
        <v>0</v>
      </c>
      <c r="Q37" s="829">
        <f>huishoudens!P12</f>
        <v>0</v>
      </c>
      <c r="R37" s="918">
        <f ca="1">SUM(C37:Q37)</f>
        <v>33591.492695989902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4137.6090051697711</v>
      </c>
      <c r="D39" s="719">
        <f ca="1">industrie!C22</f>
        <v>0</v>
      </c>
      <c r="E39" s="719">
        <f>industrie!D22</f>
        <v>10667.506618446587</v>
      </c>
      <c r="F39" s="719">
        <f>industrie!E22</f>
        <v>344.41070759473575</v>
      </c>
      <c r="G39" s="719">
        <f>industrie!F22</f>
        <v>2166.8304092775993</v>
      </c>
      <c r="H39" s="719">
        <f>industrie!G22</f>
        <v>0</v>
      </c>
      <c r="I39" s="719">
        <f>industrie!H22</f>
        <v>0</v>
      </c>
      <c r="J39" s="719">
        <f>industrie!I22</f>
        <v>0</v>
      </c>
      <c r="K39" s="719">
        <f>industrie!J22</f>
        <v>24.509528299446792</v>
      </c>
      <c r="L39" s="719">
        <f>industrie!K22</f>
        <v>0</v>
      </c>
      <c r="M39" s="719">
        <f>industrie!L22</f>
        <v>0</v>
      </c>
      <c r="N39" s="719">
        <f>industrie!M22</f>
        <v>0</v>
      </c>
      <c r="O39" s="719">
        <f>industrie!N22</f>
        <v>0</v>
      </c>
      <c r="P39" s="719">
        <f>industrie!O22</f>
        <v>0</v>
      </c>
      <c r="Q39" s="829">
        <f>industrie!P22</f>
        <v>0</v>
      </c>
      <c r="R39" s="919">
        <f ca="1">SUM(C39:Q39)</f>
        <v>17340.866268788141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18094.465988352425</v>
      </c>
      <c r="D41" s="764">
        <f t="shared" ref="D41:R41" ca="1" si="4">SUM(D35:D40)</f>
        <v>0</v>
      </c>
      <c r="E41" s="764">
        <f t="shared" ca="1" si="4"/>
        <v>30193.462831559973</v>
      </c>
      <c r="F41" s="764">
        <f t="shared" si="4"/>
        <v>1688.9948236368832</v>
      </c>
      <c r="G41" s="764">
        <f t="shared" ca="1" si="4"/>
        <v>11376.68676708921</v>
      </c>
      <c r="H41" s="764">
        <f t="shared" si="4"/>
        <v>0</v>
      </c>
      <c r="I41" s="764">
        <f t="shared" si="4"/>
        <v>0</v>
      </c>
      <c r="J41" s="764">
        <f t="shared" si="4"/>
        <v>0</v>
      </c>
      <c r="K41" s="764">
        <f t="shared" si="4"/>
        <v>963.3658390069769</v>
      </c>
      <c r="L41" s="764">
        <f t="shared" si="4"/>
        <v>0</v>
      </c>
      <c r="M41" s="764">
        <f t="shared" ca="1" si="4"/>
        <v>0</v>
      </c>
      <c r="N41" s="764">
        <f t="shared" si="4"/>
        <v>0</v>
      </c>
      <c r="O41" s="764">
        <f t="shared" ca="1" si="4"/>
        <v>0</v>
      </c>
      <c r="P41" s="764">
        <f t="shared" si="4"/>
        <v>0</v>
      </c>
      <c r="Q41" s="765">
        <f t="shared" si="4"/>
        <v>0</v>
      </c>
      <c r="R41" s="766">
        <f t="shared" ca="1" si="4"/>
        <v>62316.976249645464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495.25116877345636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495.25116877345636</v>
      </c>
    </row>
    <row r="45" spans="1:18" ht="15" thickBot="1">
      <c r="A45" s="889" t="s">
        <v>307</v>
      </c>
      <c r="B45" s="899"/>
      <c r="C45" s="728">
        <f ca="1">transport!B18</f>
        <v>5.4582011433378312</v>
      </c>
      <c r="D45" s="728">
        <f>transport!C18</f>
        <v>0</v>
      </c>
      <c r="E45" s="728">
        <f>transport!D18</f>
        <v>14.831174388494121</v>
      </c>
      <c r="F45" s="728">
        <f>transport!E18</f>
        <v>118.79886098828281</v>
      </c>
      <c r="G45" s="728">
        <f>transport!F18</f>
        <v>0</v>
      </c>
      <c r="H45" s="728">
        <f>transport!G18</f>
        <v>44456.567233586211</v>
      </c>
      <c r="I45" s="728">
        <f>transport!H18</f>
        <v>7059.2546157113202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51654.910085817646</v>
      </c>
    </row>
    <row r="46" spans="1:18" ht="15.75" thickBot="1">
      <c r="A46" s="887" t="s">
        <v>230</v>
      </c>
      <c r="B46" s="900"/>
      <c r="C46" s="764">
        <f t="shared" ref="C46:R46" ca="1" si="5">SUM(C43:C45)</f>
        <v>5.4582011433378312</v>
      </c>
      <c r="D46" s="764">
        <f t="shared" ca="1" si="5"/>
        <v>0</v>
      </c>
      <c r="E46" s="764">
        <f t="shared" si="5"/>
        <v>14.831174388494121</v>
      </c>
      <c r="F46" s="764">
        <f t="shared" si="5"/>
        <v>118.79886098828281</v>
      </c>
      <c r="G46" s="764">
        <f t="shared" si="5"/>
        <v>0</v>
      </c>
      <c r="H46" s="764">
        <f t="shared" si="5"/>
        <v>44951.81840235967</v>
      </c>
      <c r="I46" s="764">
        <f t="shared" si="5"/>
        <v>7059.2546157113202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52150.161254591105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889.42422687976546</v>
      </c>
      <c r="D48" s="719">
        <f ca="1">+landbouw!C12</f>
        <v>6417.9983193277312</v>
      </c>
      <c r="E48" s="719">
        <f>+landbouw!D12</f>
        <v>0</v>
      </c>
      <c r="F48" s="719">
        <f>+landbouw!E12</f>
        <v>9.6524579258779468</v>
      </c>
      <c r="G48" s="719">
        <f>+landbouw!F12</f>
        <v>3109.9398009062252</v>
      </c>
      <c r="H48" s="719">
        <f>+landbouw!G12</f>
        <v>0</v>
      </c>
      <c r="I48" s="719">
        <f>+landbouw!H12</f>
        <v>0</v>
      </c>
      <c r="J48" s="719">
        <f>+landbouw!I12</f>
        <v>0</v>
      </c>
      <c r="K48" s="719">
        <f>+landbouw!J12</f>
        <v>249.15217131548548</v>
      </c>
      <c r="L48" s="719">
        <f>+landbouw!K12</f>
        <v>0</v>
      </c>
      <c r="M48" s="719">
        <f>+landbouw!L12</f>
        <v>0</v>
      </c>
      <c r="N48" s="719">
        <f>+landbouw!M12</f>
        <v>0</v>
      </c>
      <c r="O48" s="719">
        <f>+landbouw!N12</f>
        <v>0</v>
      </c>
      <c r="P48" s="719">
        <f>+landbouw!O12</f>
        <v>0</v>
      </c>
      <c r="Q48" s="720">
        <f>+landbouw!P12</f>
        <v>0</v>
      </c>
      <c r="R48" s="762">
        <f ca="1">SUM(C48:Q48)</f>
        <v>10676.166976355084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18989.348416375527</v>
      </c>
      <c r="D53" s="774">
        <f t="shared" ref="D53:Q53" ca="1" si="6">D41+D46+D48</f>
        <v>6417.9983193277312</v>
      </c>
      <c r="E53" s="774">
        <f t="shared" ca="1" si="6"/>
        <v>30208.294005948468</v>
      </c>
      <c r="F53" s="774">
        <f t="shared" si="6"/>
        <v>1817.446142551044</v>
      </c>
      <c r="G53" s="774">
        <f t="shared" ca="1" si="6"/>
        <v>14486.626567995434</v>
      </c>
      <c r="H53" s="774">
        <f t="shared" si="6"/>
        <v>44951.81840235967</v>
      </c>
      <c r="I53" s="774">
        <f t="shared" si="6"/>
        <v>7059.2546157113202</v>
      </c>
      <c r="J53" s="774">
        <f t="shared" si="6"/>
        <v>0</v>
      </c>
      <c r="K53" s="774">
        <f t="shared" si="6"/>
        <v>1212.5180103224625</v>
      </c>
      <c r="L53" s="774">
        <f t="shared" si="6"/>
        <v>0</v>
      </c>
      <c r="M53" s="774">
        <f t="shared" ca="1" si="6"/>
        <v>0</v>
      </c>
      <c r="N53" s="774">
        <f t="shared" si="6"/>
        <v>0</v>
      </c>
      <c r="O53" s="774">
        <f t="shared" ca="1" si="6"/>
        <v>0</v>
      </c>
      <c r="P53" s="774">
        <f>P41+P46+P48</f>
        <v>0</v>
      </c>
      <c r="Q53" s="775">
        <f t="shared" si="6"/>
        <v>0</v>
      </c>
      <c r="R53" s="776">
        <f ca="1">R41+R46+R48</f>
        <v>125143.30448059166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0.19374089890317309</v>
      </c>
      <c r="D55" s="837">
        <f t="shared" ca="1" si="7"/>
        <v>0.23764705882352941</v>
      </c>
      <c r="E55" s="837">
        <f t="shared" ca="1" si="7"/>
        <v>0.20200000000000004</v>
      </c>
      <c r="F55" s="837">
        <f t="shared" si="7"/>
        <v>0.22699999999999998</v>
      </c>
      <c r="G55" s="837">
        <f t="shared" ca="1" si="7"/>
        <v>0.26700000000000007</v>
      </c>
      <c r="H55" s="837">
        <f t="shared" si="7"/>
        <v>0.26700000000000007</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3153.4931303428648</v>
      </c>
      <c r="C64" s="796">
        <f>'lokale energieproductie'!B4</f>
        <v>3153.4931303428648</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10359.999137276045</v>
      </c>
      <c r="C66" s="796">
        <f>'lokale energieproductie'!B6</f>
        <v>10359.999137276045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18904.5</v>
      </c>
      <c r="C67" s="795">
        <f>B67*IFERROR(SUM(J67:L67)/SUM(D67:M67),0)</f>
        <v>0</v>
      </c>
      <c r="D67" s="827">
        <f>'lokale energieproductie'!C7</f>
        <v>22240.588235294119</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4492.5988235294126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32417.992267618909</v>
      </c>
      <c r="C69" s="804">
        <f>SUM(C64:C68)</f>
        <v>13513.492267618909</v>
      </c>
      <c r="D69" s="805">
        <f t="shared" ref="D69:M69" si="8">SUM(D67:D68)</f>
        <v>22240.588235294119</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4492.5988235294126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27006.428571428572</v>
      </c>
      <c r="C78" s="818">
        <f>B78*IFERROR(SUM(I78:L78)/SUM(D78:M78),0)</f>
        <v>0</v>
      </c>
      <c r="D78" s="833">
        <f>'lokale energieproductie'!C16</f>
        <v>31772.268907563026</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6417.9983193277312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27006.428571428572</v>
      </c>
      <c r="C81" s="804">
        <f>SUM(C78:C80)</f>
        <v>0</v>
      </c>
      <c r="D81" s="804">
        <f t="shared" ref="D81:P81" si="9">SUM(D78:D80)</f>
        <v>31772.268907563026</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6417.9983193277312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45932.789987340824</v>
      </c>
      <c r="C4" s="479">
        <f>huishoudens!C8</f>
        <v>0</v>
      </c>
      <c r="D4" s="479">
        <f>huishoudens!D8</f>
        <v>70611.961070520134</v>
      </c>
      <c r="E4" s="479">
        <f>huishoudens!E8</f>
        <v>5682.7413483504033</v>
      </c>
      <c r="F4" s="479">
        <f>huishoudens!F8</f>
        <v>30711.527871474478</v>
      </c>
      <c r="G4" s="479">
        <f>huishoudens!G8</f>
        <v>0</v>
      </c>
      <c r="H4" s="479">
        <f>huishoudens!H8</f>
        <v>0</v>
      </c>
      <c r="I4" s="479">
        <f>huishoudens!I8</f>
        <v>0</v>
      </c>
      <c r="J4" s="479">
        <f>huishoudens!J8</f>
        <v>2652.1364709252266</v>
      </c>
      <c r="K4" s="479">
        <f>huishoudens!K8</f>
        <v>0</v>
      </c>
      <c r="L4" s="479">
        <f>huishoudens!L8</f>
        <v>0</v>
      </c>
      <c r="M4" s="479">
        <f>huishoudens!M8</f>
        <v>0</v>
      </c>
      <c r="N4" s="479">
        <f>huishoudens!N8</f>
        <v>21455.500897800906</v>
      </c>
      <c r="O4" s="479">
        <f>huishoudens!O8</f>
        <v>447.11333333333334</v>
      </c>
      <c r="P4" s="480">
        <f>huishoudens!P8</f>
        <v>591.06666666666661</v>
      </c>
      <c r="Q4" s="481">
        <f>SUM(B4:P4)</f>
        <v>178084.83764641199</v>
      </c>
    </row>
    <row r="5" spans="1:17">
      <c r="A5" s="478" t="s">
        <v>156</v>
      </c>
      <c r="B5" s="479">
        <f ca="1">tertiair!B16</f>
        <v>24086.4228</v>
      </c>
      <c r="C5" s="479">
        <f ca="1">tertiair!C16</f>
        <v>0</v>
      </c>
      <c r="D5" s="479">
        <f ca="1">tertiair!D16</f>
        <v>26051.188499348104</v>
      </c>
      <c r="E5" s="479">
        <f>tertiair!E16</f>
        <v>240.53669588813113</v>
      </c>
      <c r="F5" s="479">
        <f ca="1">tertiair!F16</f>
        <v>3782.3161652731192</v>
      </c>
      <c r="G5" s="479">
        <f>tertiair!G16</f>
        <v>0</v>
      </c>
      <c r="H5" s="479">
        <f>tertiair!H16</f>
        <v>0</v>
      </c>
      <c r="I5" s="479">
        <f>tertiair!I16</f>
        <v>0</v>
      </c>
      <c r="J5" s="479">
        <f>tertiair!J16</f>
        <v>0</v>
      </c>
      <c r="K5" s="479">
        <f>tertiair!K16</f>
        <v>0</v>
      </c>
      <c r="L5" s="479">
        <f ca="1">tertiair!L16</f>
        <v>0</v>
      </c>
      <c r="M5" s="479">
        <f>tertiair!M16</f>
        <v>0</v>
      </c>
      <c r="N5" s="479">
        <f ca="1">tertiair!N16</f>
        <v>3835.3708973239932</v>
      </c>
      <c r="O5" s="479">
        <f>tertiair!O16</f>
        <v>3.1266666666666669</v>
      </c>
      <c r="P5" s="480">
        <f>tertiair!P16</f>
        <v>76.266666666666666</v>
      </c>
      <c r="Q5" s="478">
        <f t="shared" ref="Q5:Q13" ca="1" si="0">SUM(B5:P5)</f>
        <v>58075.228391166682</v>
      </c>
    </row>
    <row r="6" spans="1:17">
      <c r="A6" s="478" t="s">
        <v>194</v>
      </c>
      <c r="B6" s="479">
        <f>'openbare verlichting'!B8</f>
        <v>2019.5619999999999</v>
      </c>
      <c r="C6" s="479"/>
      <c r="D6" s="479"/>
      <c r="E6" s="479"/>
      <c r="F6" s="479"/>
      <c r="G6" s="479"/>
      <c r="H6" s="479"/>
      <c r="I6" s="479"/>
      <c r="J6" s="479"/>
      <c r="K6" s="479"/>
      <c r="L6" s="479"/>
      <c r="M6" s="479"/>
      <c r="N6" s="479"/>
      <c r="O6" s="479"/>
      <c r="P6" s="480"/>
      <c r="Q6" s="478">
        <f t="shared" si="0"/>
        <v>2019.5619999999999</v>
      </c>
    </row>
    <row r="7" spans="1:17">
      <c r="A7" s="478" t="s">
        <v>112</v>
      </c>
      <c r="B7" s="479">
        <f>landbouw!B8</f>
        <v>4590.7923000000001</v>
      </c>
      <c r="C7" s="479">
        <f>landbouw!C8</f>
        <v>27006.428571428572</v>
      </c>
      <c r="D7" s="479">
        <f>landbouw!D8</f>
        <v>0</v>
      </c>
      <c r="E7" s="479">
        <f>landbouw!E8</f>
        <v>42.521841083162762</v>
      </c>
      <c r="F7" s="479">
        <f>landbouw!F8</f>
        <v>11647.714610135674</v>
      </c>
      <c r="G7" s="479">
        <f>landbouw!G8</f>
        <v>0</v>
      </c>
      <c r="H7" s="479">
        <f>landbouw!H8</f>
        <v>0</v>
      </c>
      <c r="I7" s="479">
        <f>landbouw!I8</f>
        <v>0</v>
      </c>
      <c r="J7" s="479">
        <f>landbouw!J8</f>
        <v>703.81969298159743</v>
      </c>
      <c r="K7" s="479">
        <f>landbouw!K8</f>
        <v>0</v>
      </c>
      <c r="L7" s="479">
        <f>landbouw!L8</f>
        <v>0</v>
      </c>
      <c r="M7" s="479">
        <f>landbouw!M8</f>
        <v>0</v>
      </c>
      <c r="N7" s="479">
        <f>landbouw!N8</f>
        <v>0</v>
      </c>
      <c r="O7" s="479">
        <f>landbouw!O8</f>
        <v>0</v>
      </c>
      <c r="P7" s="480">
        <f>landbouw!P8</f>
        <v>0</v>
      </c>
      <c r="Q7" s="478">
        <f t="shared" si="0"/>
        <v>43991.277015629006</v>
      </c>
    </row>
    <row r="8" spans="1:17">
      <c r="A8" s="478" t="s">
        <v>650</v>
      </c>
      <c r="B8" s="479">
        <f>industrie!B18</f>
        <v>21356.404500000001</v>
      </c>
      <c r="C8" s="479">
        <f>industrie!C18</f>
        <v>0</v>
      </c>
      <c r="D8" s="479">
        <f>industrie!D18</f>
        <v>52809.438705181121</v>
      </c>
      <c r="E8" s="479">
        <f>industrie!E18</f>
        <v>1517.2277867609505</v>
      </c>
      <c r="F8" s="479">
        <f>industrie!F18</f>
        <v>8115.4696976689111</v>
      </c>
      <c r="G8" s="479">
        <f>industrie!G18</f>
        <v>0</v>
      </c>
      <c r="H8" s="479">
        <f>industrie!H18</f>
        <v>0</v>
      </c>
      <c r="I8" s="479">
        <f>industrie!I18</f>
        <v>0</v>
      </c>
      <c r="J8" s="479">
        <f>industrie!J18</f>
        <v>69.235955648154786</v>
      </c>
      <c r="K8" s="479">
        <f>industrie!K18</f>
        <v>0</v>
      </c>
      <c r="L8" s="479">
        <f>industrie!L18</f>
        <v>0</v>
      </c>
      <c r="M8" s="479">
        <f>industrie!M18</f>
        <v>0</v>
      </c>
      <c r="N8" s="479">
        <f>industrie!N18</f>
        <v>3877.0379860016965</v>
      </c>
      <c r="O8" s="479">
        <f>industrie!O18</f>
        <v>0</v>
      </c>
      <c r="P8" s="480">
        <f>industrie!P18</f>
        <v>0</v>
      </c>
      <c r="Q8" s="478">
        <f t="shared" si="0"/>
        <v>87744.814631260844</v>
      </c>
    </row>
    <row r="9" spans="1:17" s="484" customFormat="1">
      <c r="A9" s="482" t="s">
        <v>571</v>
      </c>
      <c r="B9" s="483">
        <f>transport!B14</f>
        <v>28.172684106651662</v>
      </c>
      <c r="C9" s="483">
        <f>transport!C14</f>
        <v>0</v>
      </c>
      <c r="D9" s="483">
        <f>transport!D14</f>
        <v>73.421655388584753</v>
      </c>
      <c r="E9" s="483">
        <f>transport!E14</f>
        <v>523.34299994838238</v>
      </c>
      <c r="F9" s="483">
        <f>transport!F14</f>
        <v>0</v>
      </c>
      <c r="G9" s="483">
        <f>transport!G14</f>
        <v>166503.99712953635</v>
      </c>
      <c r="H9" s="483">
        <f>transport!H14</f>
        <v>28350.420143418956</v>
      </c>
      <c r="I9" s="483">
        <f>transport!I14</f>
        <v>0</v>
      </c>
      <c r="J9" s="483">
        <f>transport!J14</f>
        <v>0</v>
      </c>
      <c r="K9" s="483">
        <f>transport!K14</f>
        <v>0</v>
      </c>
      <c r="L9" s="483">
        <f>transport!L14</f>
        <v>0</v>
      </c>
      <c r="M9" s="483">
        <f>transport!M14</f>
        <v>10504.22447666816</v>
      </c>
      <c r="N9" s="483">
        <f>transport!N14</f>
        <v>0</v>
      </c>
      <c r="O9" s="483">
        <f>transport!O14</f>
        <v>0</v>
      </c>
      <c r="P9" s="483">
        <f>transport!P14</f>
        <v>0</v>
      </c>
      <c r="Q9" s="482">
        <f>SUM(B9:P9)</f>
        <v>205983.57908906709</v>
      </c>
    </row>
    <row r="10" spans="1:17">
      <c r="A10" s="478" t="s">
        <v>561</v>
      </c>
      <c r="B10" s="479">
        <f>transport!B54</f>
        <v>0</v>
      </c>
      <c r="C10" s="479">
        <f>transport!C54</f>
        <v>0</v>
      </c>
      <c r="D10" s="479">
        <f>transport!D54</f>
        <v>0</v>
      </c>
      <c r="E10" s="479">
        <f>transport!E54</f>
        <v>0</v>
      </c>
      <c r="F10" s="479">
        <f>transport!F54</f>
        <v>0</v>
      </c>
      <c r="G10" s="479">
        <f>transport!G54</f>
        <v>1854.8732912863534</v>
      </c>
      <c r="H10" s="479">
        <f>transport!H54</f>
        <v>0</v>
      </c>
      <c r="I10" s="479">
        <f>transport!I54</f>
        <v>0</v>
      </c>
      <c r="J10" s="479">
        <f>transport!J54</f>
        <v>0</v>
      </c>
      <c r="K10" s="479">
        <f>transport!K54</f>
        <v>0</v>
      </c>
      <c r="L10" s="479">
        <f>transport!L54</f>
        <v>0</v>
      </c>
      <c r="M10" s="479">
        <f>transport!M54</f>
        <v>105.77801655431848</v>
      </c>
      <c r="N10" s="479">
        <f>transport!N54</f>
        <v>0</v>
      </c>
      <c r="O10" s="479">
        <f>transport!O54</f>
        <v>0</v>
      </c>
      <c r="P10" s="480">
        <f>transport!P54</f>
        <v>0</v>
      </c>
      <c r="Q10" s="478">
        <f t="shared" si="0"/>
        <v>1960.651307840672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98014.144271447498</v>
      </c>
      <c r="C14" s="489">
        <f t="shared" ref="C14:Q14" ca="1" si="1">SUM(C4:C13)</f>
        <v>27006.428571428572</v>
      </c>
      <c r="D14" s="489">
        <f t="shared" ca="1" si="1"/>
        <v>149546.00993043793</v>
      </c>
      <c r="E14" s="489">
        <f t="shared" si="1"/>
        <v>8006.3706720310302</v>
      </c>
      <c r="F14" s="489">
        <f t="shared" ca="1" si="1"/>
        <v>54257.028344552185</v>
      </c>
      <c r="G14" s="489">
        <f t="shared" si="1"/>
        <v>168358.8704208227</v>
      </c>
      <c r="H14" s="489">
        <f t="shared" si="1"/>
        <v>28350.420143418956</v>
      </c>
      <c r="I14" s="489">
        <f t="shared" si="1"/>
        <v>0</v>
      </c>
      <c r="J14" s="489">
        <f t="shared" si="1"/>
        <v>3425.1921195549789</v>
      </c>
      <c r="K14" s="489">
        <f t="shared" si="1"/>
        <v>0</v>
      </c>
      <c r="L14" s="489">
        <f t="shared" ca="1" si="1"/>
        <v>0</v>
      </c>
      <c r="M14" s="489">
        <f t="shared" si="1"/>
        <v>10610.002493222479</v>
      </c>
      <c r="N14" s="489">
        <f t="shared" ca="1" si="1"/>
        <v>29167.909781126596</v>
      </c>
      <c r="O14" s="489">
        <f t="shared" si="1"/>
        <v>450.24</v>
      </c>
      <c r="P14" s="490">
        <f t="shared" si="1"/>
        <v>667.33333333333326</v>
      </c>
      <c r="Q14" s="490">
        <f t="shared" ca="1" si="1"/>
        <v>577859.95008137636</v>
      </c>
    </row>
    <row r="16" spans="1:17">
      <c r="A16" s="492" t="s">
        <v>566</v>
      </c>
      <c r="B16" s="842">
        <f ca="1">huishoudens!B10</f>
        <v>0.19374089890317309</v>
      </c>
      <c r="C16" s="842">
        <f ca="1">huishoudens!C10</f>
        <v>0.23764705882352941</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8899.0600212780791</v>
      </c>
      <c r="C21" s="479">
        <f t="shared" ref="C21:C30" ca="1" si="3">C4*$C$16</f>
        <v>0</v>
      </c>
      <c r="D21" s="479">
        <f t="shared" ref="D21:D30" si="4">D4*$D$16</f>
        <v>14263.616136245068</v>
      </c>
      <c r="E21" s="479">
        <f t="shared" ref="E21:E30" si="5">E4*$E$16</f>
        <v>1289.9822860755417</v>
      </c>
      <c r="F21" s="479">
        <f t="shared" ref="F21:F30" si="6">F4*$F$16</f>
        <v>8199.9779416836864</v>
      </c>
      <c r="G21" s="479">
        <f t="shared" ref="G21:G30" si="7">G4*$G$16</f>
        <v>0</v>
      </c>
      <c r="H21" s="479">
        <f t="shared" ref="H21:H30" si="8">H4*$H$16</f>
        <v>0</v>
      </c>
      <c r="I21" s="479">
        <f t="shared" ref="I21:I30" si="9">I4*$I$16</f>
        <v>0</v>
      </c>
      <c r="J21" s="479">
        <f t="shared" ref="J21:J30" si="10">J4*$J$16</f>
        <v>938.85631070753016</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33591.492695989902</v>
      </c>
    </row>
    <row r="22" spans="1:17">
      <c r="A22" s="478" t="s">
        <v>156</v>
      </c>
      <c r="B22" s="479">
        <f t="shared" ca="1" si="2"/>
        <v>4666.5252046338837</v>
      </c>
      <c r="C22" s="479">
        <f t="shared" ca="1" si="3"/>
        <v>0</v>
      </c>
      <c r="D22" s="479">
        <f t="shared" ca="1" si="4"/>
        <v>5262.3400768683168</v>
      </c>
      <c r="E22" s="479">
        <f t="shared" si="5"/>
        <v>54.60182996660577</v>
      </c>
      <c r="F22" s="479">
        <f t="shared" ca="1" si="6"/>
        <v>1009.8784161279228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10993.34552759673</v>
      </c>
    </row>
    <row r="23" spans="1:17">
      <c r="A23" s="478" t="s">
        <v>194</v>
      </c>
      <c r="B23" s="479">
        <f t="shared" ca="1" si="2"/>
        <v>391.27175727069005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391.27175727069005</v>
      </c>
    </row>
    <row r="24" spans="1:17">
      <c r="A24" s="478" t="s">
        <v>112</v>
      </c>
      <c r="B24" s="479">
        <f t="shared" ca="1" si="2"/>
        <v>889.42422687976546</v>
      </c>
      <c r="C24" s="479">
        <f t="shared" ca="1" si="3"/>
        <v>6417.9983193277312</v>
      </c>
      <c r="D24" s="479">
        <f t="shared" si="4"/>
        <v>0</v>
      </c>
      <c r="E24" s="479">
        <f t="shared" si="5"/>
        <v>9.6524579258779468</v>
      </c>
      <c r="F24" s="479">
        <f t="shared" si="6"/>
        <v>3109.9398009062252</v>
      </c>
      <c r="G24" s="479">
        <f t="shared" si="7"/>
        <v>0</v>
      </c>
      <c r="H24" s="479">
        <f t="shared" si="8"/>
        <v>0</v>
      </c>
      <c r="I24" s="479">
        <f t="shared" si="9"/>
        <v>0</v>
      </c>
      <c r="J24" s="479">
        <f t="shared" si="10"/>
        <v>249.15217131548548</v>
      </c>
      <c r="K24" s="479">
        <f t="shared" si="11"/>
        <v>0</v>
      </c>
      <c r="L24" s="479">
        <f t="shared" si="12"/>
        <v>0</v>
      </c>
      <c r="M24" s="479">
        <f t="shared" si="13"/>
        <v>0</v>
      </c>
      <c r="N24" s="479">
        <f t="shared" si="14"/>
        <v>0</v>
      </c>
      <c r="O24" s="479">
        <f t="shared" si="15"/>
        <v>0</v>
      </c>
      <c r="P24" s="480">
        <f t="shared" si="16"/>
        <v>0</v>
      </c>
      <c r="Q24" s="478">
        <f t="shared" ca="1" si="17"/>
        <v>10676.166976355084</v>
      </c>
    </row>
    <row r="25" spans="1:17">
      <c r="A25" s="478" t="s">
        <v>650</v>
      </c>
      <c r="B25" s="479">
        <f t="shared" ca="1" si="2"/>
        <v>4137.6090051697711</v>
      </c>
      <c r="C25" s="479">
        <f t="shared" ca="1" si="3"/>
        <v>0</v>
      </c>
      <c r="D25" s="479">
        <f t="shared" si="4"/>
        <v>10667.506618446587</v>
      </c>
      <c r="E25" s="479">
        <f t="shared" si="5"/>
        <v>344.41070759473575</v>
      </c>
      <c r="F25" s="479">
        <f t="shared" si="6"/>
        <v>2166.8304092775993</v>
      </c>
      <c r="G25" s="479">
        <f t="shared" si="7"/>
        <v>0</v>
      </c>
      <c r="H25" s="479">
        <f t="shared" si="8"/>
        <v>0</v>
      </c>
      <c r="I25" s="479">
        <f t="shared" si="9"/>
        <v>0</v>
      </c>
      <c r="J25" s="479">
        <f t="shared" si="10"/>
        <v>24.509528299446792</v>
      </c>
      <c r="K25" s="479">
        <f t="shared" si="11"/>
        <v>0</v>
      </c>
      <c r="L25" s="479">
        <f t="shared" si="12"/>
        <v>0</v>
      </c>
      <c r="M25" s="479">
        <f t="shared" si="13"/>
        <v>0</v>
      </c>
      <c r="N25" s="479">
        <f t="shared" si="14"/>
        <v>0</v>
      </c>
      <c r="O25" s="479">
        <f t="shared" si="15"/>
        <v>0</v>
      </c>
      <c r="P25" s="480">
        <f t="shared" si="16"/>
        <v>0</v>
      </c>
      <c r="Q25" s="478">
        <f t="shared" ca="1" si="17"/>
        <v>17340.866268788141</v>
      </c>
    </row>
    <row r="26" spans="1:17" s="484" customFormat="1">
      <c r="A26" s="482" t="s">
        <v>571</v>
      </c>
      <c r="B26" s="836">
        <f t="shared" ca="1" si="2"/>
        <v>5.4582011433378312</v>
      </c>
      <c r="C26" s="483">
        <f t="shared" ca="1" si="3"/>
        <v>0</v>
      </c>
      <c r="D26" s="483">
        <f t="shared" si="4"/>
        <v>14.831174388494121</v>
      </c>
      <c r="E26" s="483">
        <f t="shared" si="5"/>
        <v>118.79886098828281</v>
      </c>
      <c r="F26" s="483">
        <f t="shared" si="6"/>
        <v>0</v>
      </c>
      <c r="G26" s="483">
        <f t="shared" si="7"/>
        <v>44456.567233586211</v>
      </c>
      <c r="H26" s="483">
        <f t="shared" si="8"/>
        <v>7059.2546157113202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51654.910085817646</v>
      </c>
    </row>
    <row r="27" spans="1:17">
      <c r="A27" s="478" t="s">
        <v>561</v>
      </c>
      <c r="B27" s="479">
        <f t="shared" ca="1" si="2"/>
        <v>0</v>
      </c>
      <c r="C27" s="479">
        <f t="shared" ca="1" si="3"/>
        <v>0</v>
      </c>
      <c r="D27" s="479">
        <f t="shared" si="4"/>
        <v>0</v>
      </c>
      <c r="E27" s="479">
        <f t="shared" si="5"/>
        <v>0</v>
      </c>
      <c r="F27" s="479">
        <f t="shared" si="6"/>
        <v>0</v>
      </c>
      <c r="G27" s="479">
        <f t="shared" si="7"/>
        <v>495.25116877345636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495.25116877345636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18989.348416375527</v>
      </c>
      <c r="C31" s="489">
        <f t="shared" ca="1" si="18"/>
        <v>6417.9983193277312</v>
      </c>
      <c r="D31" s="489">
        <f t="shared" ca="1" si="18"/>
        <v>30208.294005948468</v>
      </c>
      <c r="E31" s="489">
        <f t="shared" si="18"/>
        <v>1817.446142551044</v>
      </c>
      <c r="F31" s="489">
        <f t="shared" ca="1" si="18"/>
        <v>14486.626567995436</v>
      </c>
      <c r="G31" s="489">
        <f t="shared" si="18"/>
        <v>44951.81840235967</v>
      </c>
      <c r="H31" s="489">
        <f t="shared" si="18"/>
        <v>7059.2546157113202</v>
      </c>
      <c r="I31" s="489">
        <f t="shared" si="18"/>
        <v>0</v>
      </c>
      <c r="J31" s="489">
        <f t="shared" si="18"/>
        <v>1212.5180103224625</v>
      </c>
      <c r="K31" s="489">
        <f t="shared" si="18"/>
        <v>0</v>
      </c>
      <c r="L31" s="489">
        <f t="shared" ca="1" si="18"/>
        <v>0</v>
      </c>
      <c r="M31" s="489">
        <f t="shared" si="18"/>
        <v>0</v>
      </c>
      <c r="N31" s="489">
        <f t="shared" ca="1" si="18"/>
        <v>0</v>
      </c>
      <c r="O31" s="489">
        <f t="shared" si="18"/>
        <v>0</v>
      </c>
      <c r="P31" s="490">
        <f t="shared" si="18"/>
        <v>0</v>
      </c>
      <c r="Q31" s="490">
        <f t="shared" ca="1" si="18"/>
        <v>125143.30448059164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0.19374089890317309</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0.19374089890317309</v>
      </c>
      <c r="C17" s="529">
        <f ca="1">'EF ele_warmte'!B22</f>
        <v>0.23764705882352941</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0.19374089890317309</v>
      </c>
      <c r="C29" s="530">
        <f ca="1">'EF ele_warmte'!B22</f>
        <v>0.23764705882352941</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2018-06-27T09:36:23Z</dcterms:modified>
</cp:coreProperties>
</file>