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<sst xmlns="http://schemas.openxmlformats.org/spreadsheetml/2006/main" count="1977" uniqueCount="847">
  <si>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</si>
  <si>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</si>
  <si>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</si>
  <si>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</si>
  <si>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</si>
  <si>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</si>
  <si>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</si>
  <si>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</si>
  <si>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</si>
  <si>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</si>
  <si>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</si>
  <si>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</si>
  <si>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</si>
  <si>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</si>
  <si>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</si>
  <si>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</si>
  <si>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</si>
  <si>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</si>
  <si>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</si>
  <si>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</si>
  <si>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</si>
  <si>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</si>
  <si>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</si>
  <si>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</si>
  <si>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</si>
  <si>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</si>
  <si>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</si>
  <si>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</si>
  <si>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</si>
  <si>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</si>
  <si>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</si>
  <si>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</si>
  <si>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</si>
  <si>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</si>
  <si>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</si>
  <si>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</si>
  <si>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</si>
  <si>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</si>
  <si>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</si>
  <si>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</si>
  <si>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</si>
  <si>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</si>
  <si>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</si>
  <si>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</si>
  <si>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</si>
  <si>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</si>
  <si>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</si>
  <si>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</si>
  <si>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</si>
  <si>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</si>
  <si>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</si>
  <si>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</si>
  <si>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</si>
  <si>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</si>
  <si>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</si>
  <si>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</si>
  <si>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</si>
  <si>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</si>
  <si>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</si>
  <si>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</si>
  <si>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</si>
  <si>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</si>
  <si>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</si>
  <si>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</si>
  <si>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</si>
  <si>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</si>
  <si>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</si>
  <si>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</si>
  <si>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</si>
  <si>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</si>
  <si>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</si>
  <si>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</si>
  <si>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</si>
  <si>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</si>
  <si>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</si>
  <si>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</si>
  <si>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</si>
  <si>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</si>
  <si>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</si>
  <si>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</si>
  <si>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</si>
  <si>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</si>
  <si>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</si>
  <si>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</si>
  <si>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</si>
  <si>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</si>
  <si>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</si>
  <si>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</si>
  <si>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</si>
  <si>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</si>
  <si>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</si>
  <si>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</si>
  <si>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</si>
  <si>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</si>
  <si>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</si>
  <si>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</si>
  <si>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</si>
  <si>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</si>
  <si>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</si>
  <si>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</si>
  <si>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</si>
  <si>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</si>
  <si>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</si>
  <si>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</si>
  <si>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</si>
  <si>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</si>
  <si>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</si>
  <si>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</si>
  <si>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</si>
  <si>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</si>
  <si>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</si>
  <si>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</si>
  <si>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</si>
  <si>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</si>
  <si>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</si>
  <si>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</si>
  <si>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</si>
  <si>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</si>
  <si>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</si>
  <si>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</si>
  <si>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</si>
  <si>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</si>
  <si>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</si>
  <si>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</si>
  <si>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</si>
  <si>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</si>
  <si>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</si>
  <si>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</si>
  <si>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</si>
  <si>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</si>
  <si>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</si>
  <si>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</si>
  <si>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</si>
  <si>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</si>
  <si>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</si>
  <si>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</si>
  <si>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</si>
  <si>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</si>
  <si>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</si>
  <si>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</si>
  <si>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</si>
  <si>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</si>
  <si>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</si>
  <si>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</si>
  <si>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</si>
  <si>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</si>
  <si>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</si>
  <si>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</si>
  <si>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</si>
  <si>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</si>
  <si>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</si>
  <si>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</si>
  <si>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</si>
  <si>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</si>
  <si>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</si>
  <si>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</si>
  <si>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</si>
  <si>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</si>
  <si>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</si>
  <si>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</si>
  <si>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</si>
  <si>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</si>
  <si>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</si>
  <si>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</si>
  <si>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</si>
  <si>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</si>
  <si>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</si>
  <si>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</si>
  <si>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</si>
  <si>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</si>
  <si>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</si>
  <si>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</si>
  <si>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</si>
  <si>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</si>
  <si>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</si>
  <si>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</si>
  <si>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</si>
  <si>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</si>
  <si>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</si>
  <si>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</si>
  <si>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</si>
  <si>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</si>
  <si>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</si>
  <si>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</si>
  <si>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</si>
  <si>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</si>
  <si>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</si>
  <si>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</si>
  <si>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</si>
  <si>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</si>
  <si>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</si>
  <si>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</si>
  <si>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</si>
  <si>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</si>
  <si>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</si>
  <si>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</si>
  <si>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</si>
  <si>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</si>
  <si>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</si>
  <si>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</si>
  <si>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</si>
  <si>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</si>
  <si>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</si>
  <si>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</si>
  <si>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</si>
  <si>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</si>
  <si>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</si>
  <si>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</si>
  <si>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</si>
  <si>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</si>
  <si>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</si>
  <si>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</si>
  <si>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</si>
  <si>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</si>
  <si>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</si>
  <si>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</si>
  <si>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</si>
  <si>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</si>
  <si>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</si>
  <si>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</si>
  <si>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</si>
  <si>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</si>
  <si>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</si>
  <si>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</si>
  <si>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</si>
  <si>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</si>
  <si>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</si>
  <si>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</si>
  <si>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</si>
  <si>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</si>
  <si>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</si>
  <si>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</si>
  <si>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</si>
  <si>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</si>
  <si>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</si>
  <si>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</si>
  <si>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</si>
  <si>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</si>
  <si>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</si>
  <si>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</si>
  <si>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</si>
  <si>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</si>
  <si>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</si>
  <si>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</si>
  <si>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</si>
  <si>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</si>
  <si>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</si>
  <si>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</si>
  <si>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</si>
  <si>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</si>
  <si>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</si>
  <si>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</si>
  <si>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</si>
  <si>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</si>
  <si>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</si>
  <si>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</si>
  <si>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</si>
  <si>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</si>
  <si>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</si>
  <si>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</si>
  <si>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</si>
  <si>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</si>
  <si>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</si>
  <si>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</si>
  <si>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</si>
  <si>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</si>
  <si>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</si>
  <si>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</si>
  <si>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</si>
  <si>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</si>
  <si>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</si>
  <si>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</si>
  <si>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</si>
  <si>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</si>
  <si>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</si>
  <si>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</si>
  <si>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</si>
  <si>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</si>
  <si>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</si>
  <si>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</si>
  <si>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</si>
  <si>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</si>
  <si>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</si>
  <si>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</si>
  <si>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</si>
  <si>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</si>
  <si>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</si>
  <si>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</si>
  <si>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</si>
  <si>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</si>
  <si>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</si>
  <si>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</si>
  <si>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</si>
  <si>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</si>
  <si>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</si>
  <si>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</si>
  <si>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</si>
  <si>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</si>
  <si>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</si>
  <si>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</si>
  <si>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</si>
  <si>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</si>
  <si>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</si>
  <si>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</si>
  <si>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</si>
  <si>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</si>
  <si>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</si>
  <si>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</si>
  <si>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</si>
  <si>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</si>
  <si>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</si>
  <si>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</si>
  <si>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</si>
  <si>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</si>
  <si>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</si>
  <si>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</si>
  <si>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</si>
  <si>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</si>
  <si>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</si>
  <si>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</si>
  <si>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</si>
  <si>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</si>
  <si>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</si>
  <si>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</si>
  <si>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</si>
  <si>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</si>
  <si>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</si>
  <si>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</si>
  <si>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</si>
  <si>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</si>
  <si>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</si>
  <si>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</si>
  <si>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</si>
  <si>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</si>
  <si>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</si>
  <si>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</si>
  <si>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</si>
  <si>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</si>
  <si>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</si>
  <si>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</si>
  <si>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</si>
  <si>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</si>
  <si>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</si>
  <si>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</si>
  <si>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</si>
  <si>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</si>
  <si>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</si>
  <si>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</si>
  <si>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</si>
  <si>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</si>
  <si>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</si>
  <si>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</si>
  <si>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</si>
  <si>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</si>
  <si>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</si>
  <si>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</si>
  <si>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</si>
  <si>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</si>
  <si>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</si>
  <si>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</si>
  <si>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</si>
  <si>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</si>
  <si>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</si>
  <si>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</si>
  <si>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</si>
  <si>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</si>
  <si>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</si>
  <si>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</si>
  <si>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</si>
  <si>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</si>
  <si>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</si>
  <si>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</si>
  <si>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</si>
  <si>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</si>
  <si>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</si>
  <si>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</si>
  <si>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</si>
  <si>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</si>
  <si>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</si>
  <si>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</si>
  <si>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</si>
  <si>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</si>
  <si>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</si>
  <si>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</si>
  <si>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</si>
  <si>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</si>
  <si>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</si>
  <si>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</si>
  <si>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</si>
  <si>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</si>
  <si>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</si>
  <si>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</si>
  <si>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</si>
  <si>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</si>
  <si>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</si>
  <si>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</si>
  <si>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</si>
  <si>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</si>
  <si>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</si>
  <si>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</si>
  <si>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</si>
  <si>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</si>
  <si>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</si>
  <si>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</si>
  <si>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</si>
  <si>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</si>
  <si>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</si>
  <si>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</si>
  <si>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</si>
  <si>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</si>
  <si>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</si>
  <si>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</si>
  <si>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</si>
  <si>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</si>
  <si>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</si>
  <si>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</si>
  <si>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</si>
  <si>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</si>
  <si>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</si>
  <si>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</si>
  <si>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</si>
  <si>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</si>
  <si>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</si>
  <si>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</si>
  <si>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</si>
  <si>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</si>
  <si>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</si>
  <si>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</si>
  <si>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</si>
  <si>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</si>
  <si>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</si>
  <si>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</si>
  <si>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</si>
  <si>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</si>
  <si>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</si>
  <si>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</si>
  <si>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</si>
  <si>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</si>
  <si>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</si>
  <si>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</si>
  <si>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</si>
  <si>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</si>
  <si>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</si>
  <si>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</si>
  <si>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</si>
  <si>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</si>
  <si>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</si>
  <si>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</si>
  <si>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</si>
  <si>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</si>
  <si>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</si>
  <si>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</si>
  <si>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</si>
  <si>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</si>
  <si>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</si>
  <si>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</si>
  <si>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</si>
  <si>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</si>
  <si>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</si>
  <si>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</si>
  <si>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</si>
  <si>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</si>
  <si>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</si>
  <si>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</si>
  <si>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</si>
  <si>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</si>
  <si>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</si>
  <si>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</si>
  <si>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</si>
  <si>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</si>
  <si>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</si>
  <si>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</si>
  <si>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</si>
  <si>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</si>
  <si>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</si>
  <si>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</si>
  <si>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</si>
  <si>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</si>
  <si>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</si>
  <si>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</si>
  <si>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</si>
  <si>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</si>
  <si>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</si>
  <si>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</si>
  <si>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</si>
  <si>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</si>
  <si>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</si>
  <si>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</si>
  <si>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</si>
  <si>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</si>
  <si>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</si>
  <si>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</si>
  <si>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</si>
  <si>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</si>
  <si>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</si>
  <si>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</si>
  <si>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</si>
  <si>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</si>
  <si>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</si>
  <si>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</si>
  <si>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</si>
  <si>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</si>
  <si>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</si>
  <si>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</si>
  <si>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</si>
  <si>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</si>
  <si>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</si>
  <si>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</si>
  <si>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</si>
  <si>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</si>
  <si>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</si>
  <si>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</si>
  <si>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</si>
  <si>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</si>
  <si>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</si>
  <si>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</si>
  <si>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</si>
  <si>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</si>
  <si>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</si>
  <si>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</si>
  <si>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</si>
  <si>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</si>
  <si>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</si>
  <si>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</si>
  <si>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</si>
  <si>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</si>
  <si>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</si>
  <si>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</si>
  <si>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</si>
  <si>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</si>
  <si>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</si>
  <si>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</si>
  <si>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</si>
  <si>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</si>
  <si>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</si>
  <si>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</si>
  <si>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</si>
  <si>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</si>
  <si>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</si>
  <si>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</si>
  <si>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</si>
  <si>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</si>
  <si>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</si>
  <si>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</si>
  <si>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</si>
  <si>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</si>
  <si>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</si>
  <si>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</si>
  <si>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</si>
  <si>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</si>
  <si>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</si>
  <si>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</si>
  <si>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</si>
  <si>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</si>
  <si>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</si>
  <si>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</si>
  <si>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</si>
  <si>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</si>
  <si>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</si>
  <si>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</si>
  <si>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</si>
  <si>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</si>
  <si>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</si>
  <si>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</si>
  <si>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</si>
  <si>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</si>
  <si>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</si>
  <si>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</si>
  <si>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</si>
  <si>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</si>
  <si>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</si>
  <si>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</si>
  <si>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</si>
  <si>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</si>
  <si>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</si>
  <si>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</si>
  <si>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</si>
  <si>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</si>
  <si>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</si>
  <si>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</si>
  <si>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</si>
  <si>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</si>
  <si>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</si>
  <si>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</si>
  <si>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</si>
  <si>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</si>
  <si>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</si>
  <si>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</si>
  <si>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</si>
  <si>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</si>
  <si>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</si>
  <si>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</si>
  <si>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</si>
  <si>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</si>
  <si>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</si>
  <si>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</si>
  <si>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</si>
  <si>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</si>
  <si>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</si>
  <si>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</si>
  <si>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</si>
  <si>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</si>
  <si>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</si>
  <si>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</si>
  <si>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</si>
  <si>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</si>
  <si>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</si>
  <si>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</si>
  <si>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</si>
  <si>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</si>
  <si>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</si>
  <si>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</si>
  <si>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</si>
  <si>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</si>
  <si>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</si>
  <si>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</si>
  <si>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</si>
  <si>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</si>
  <si>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</si>
  <si>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</si>
  <si>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</si>
  <si>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</si>
  <si>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</si>
  <si>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</si>
  <si>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</si>
  <si>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</si>
  <si>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</si>
  <si>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</si>
  <si>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</si>
  <si>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</si>
  <si>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</si>
  <si>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</si>
  <si>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</si>
  <si>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</si>
  <si>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</si>
  <si>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</si>
  <si>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</si>
  <si>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</si>
  <si>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</si>
  <si>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</si>
  <si>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</si>
  <si>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</si>
  <si>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</si>
  <si>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</si>
  <si>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</si>
  <si>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</si>
  <si>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</si>
  <si>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</si>
  <si>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</si>
  <si>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</si>
  <si>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</si>
  <si>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</si>
  <si>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</si>
  <si>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</si>
  <si>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</si>
  <si>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</si>
  <si>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</si>
  <si>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</si>
  <si>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</si>
  <si>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</si>
  <si>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</si>
  <si>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</si>
  <si>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</si>
  <si>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</si>
  <si>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</si>
  <si>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</si>
  <si>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</si>
  <si>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</si>
  <si>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</si>
  <si>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</si>
  <si>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</si>
  <si>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</si>
  <si>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</si>
  <si>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</si>
  <si>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</si>
  <si>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</si>
  <si>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</si>
  <si>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</si>
  <si>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</si>
  <si>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</si>
  <si>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</si>
  <si>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</si>
  <si>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</si>
  <si>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</si>
  <si>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</si>
  <si>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</si>
  <si>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</si>
  <si>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</si>
  <si>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</si>
  <si>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</si>
  <si>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</si>
  <si>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</si>
  <si>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</si>
  <si>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</si>
  <si>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</si>
  <si>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</si>
  <si>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</si>
  <si>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</si>
  <si>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</si>
  <si>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</si>
  <si>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</si>
  <si>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</si>
  <si>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</si>
  <si>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</si>
  <si>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</si>
  <si>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</si>
  <si>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</si>
  <si>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</si>
  <si>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</si>
  <si>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</si>
  <si>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</si>
  <si>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</si>
  <si>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</si>
  <si>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</si>
  <si>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</si>
  <si>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</si>
  <si>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</si>
  <si>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</si>
  <si>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</si>
  <si>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</si>
  <si>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</si>
  <si>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</si>
  <si>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</si>
  <si>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</si>
  <si>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</si>
  <si>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</si>
  <si>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</si>
  <si>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</si>
  <si>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</si>
  <si>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</si>
  <si>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</si>
  <si>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</si>
  <si>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</si>
  <si>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</si>
  <si>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</si>
  <si>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</si>
  <si>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</si>
  <si>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</si>
  <si>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</si>
  <si>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</si>
  <si>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</si>
  <si>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</si>
  <si>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</si>
  <si>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</si>
  <si>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</si>
  <si>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</si>
  <si>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</si>
  <si>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</si>
  <si>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</si>
  <si>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</si>
  <si>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</si>
  <si>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</si>
  <si>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</si>
  <si>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</si>
  <si>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</si>
  <si>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</si>
  <si>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</si>
  <si>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</si>
  <si>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</si>
  <si>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</si>
  <si>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</si>
  <si>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</si>
  <si>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</si>
  <si>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</si>
  <si>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</si>
  <si>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</si>
  <si>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</si>
  <si>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</si>
  <si>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</si>
  <si>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</si>
  <si>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</si>
  <si>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</si>
  <si>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</si>
  <si>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</si>
  <si>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</si>
  <si>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</si>
  <si>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</si>
  <si>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</si>
  <si>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</si>
  <si>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</si>
  <si>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</si>
  <si>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</si>
  <si>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</si>
  <si>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</si>
  <si>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</si>
  <si>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</si>
  <si>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</si>
  <si>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</si>
  <si>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</si>
  <si>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</si>
  <si>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</si>
  <si>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</si>
  <si>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</si>
  <si>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</si>
  <si>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</si>
  <si>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</si>
  <si>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</si>
  <si>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</si>
  <si>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</si>
  <si>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</si>
  <si>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</si>
  <si>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</si>
  <si>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</si>
  <si>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</si>
  <si>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</si>
  <si>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</si>
  <si>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</si>
  <si>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</si>
  <si>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</si>
  <si>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</si>
  <si>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</si>
  <si>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</si>
  <si>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</si>
  <si>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</si>
  <si>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</si>
  <si>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</si>
  <si>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</si>
  <si>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</si>
  <si>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</si>
  <si>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</si>
  <si>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</si>
  <si>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</si>
  <si>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</si>
  <si>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</si>
  <si>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</si>
  <si>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</si>
  <si>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31012</t>
  </si>
  <si>
    <t>JABBEKE</t>
  </si>
  <si>
    <t>Paarden&amp;pony's 200 - 600 kg</t>
  </si>
  <si>
    <t>Paarden&amp;pony's &lt; 200 kg</t>
  </si>
  <si>
    <t>referentietaak LNE (2017); Jaarverslag De Lijn (2014)</t>
  </si>
  <si>
    <t>op basis van VEA (maart 2018) en Inventaris Hernieuwbare Energiebronnen (juni 2018)</t>
  </si>
  <si>
    <t>VEA (maart 2016)</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</si>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</sst>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111052.53841476596</c:v>
                </c:pt>
                <c:pt idx="1">
                  <c:v>32997.908156205813</c:v>
                </c:pt>
                <c:pt idx="2">
                  <c:v>1056.364</c:v>
                </c:pt>
                <c:pt idx="3">
                  <c:v>28490.870084633709</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111052.53841476596</c:v>
                </c:pt>
                <c:pt idx="1">
                  <c:v>32997.908156205813</c:v>
                </c:pt>
                <c:pt idx="2">
                  <c:v>1056.364</c:v>
                </c:pt>
                <c:pt idx="3">
                  <c:v>28490.870084633709</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21108.181609143561</c:v>
                </c:pt>
                <c:pt idx="1">
                  <c:v>6637.2208698881914</c:v>
                </c:pt>
                <c:pt idx="2">
                  <c:v>217.94686781846553</c:v>
                </c:pt>
                <c:pt idx="3">
                  <c:v>6671.5381471193641</c:v>
                </c:pt>
                <c:pt idx="4">
                  <c:v>8207.0231007879302</c:v>
                </c:pt>
                <c:pt idx="5">
                  <c:v>63233.738044943588</c:v>
                </c:pt>
                <c:pt idx="6">
                  <c:v>356.3465079374032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21108.181609143561</c:v>
                </c:pt>
                <c:pt idx="1">
                  <c:v>6637.2208698881914</c:v>
                </c:pt>
                <c:pt idx="2">
                  <c:v>217.94686781846553</c:v>
                </c:pt>
                <c:pt idx="3">
                  <c:v>6671.5381471193641</c:v>
                </c:pt>
                <c:pt idx="4">
                  <c:v>8207.0231007879302</c:v>
                </c:pt>
                <c:pt idx="5">
                  <c:v>63233.738044943588</c:v>
                </c:pt>
                <c:pt idx="6">
                  <c:v>356.3465079374032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31012</v>
      </c>
      <c r="B6" s="416"/>
      <c r="C6" s="417"/>
    </row>
    <row r="7" spans="1:7" s="414" customFormat="1" ht="15.75" customHeight="1">
      <c r="A7" s="418" t="str">
        <f>txtMunicipality</f>
        <v>JABBEKE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5519</v>
      </c>
      <c r="C9" s="342">
        <v>5659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3373</v>
      </c>
    </row>
    <row r="15" spans="1:6">
      <c r="A15" s="348" t="s">
        <v>184</v>
      </c>
      <c r="B15" s="334">
        <v>33</v>
      </c>
    </row>
    <row r="16" spans="1:6">
      <c r="A16" s="348" t="s">
        <v>6</v>
      </c>
      <c r="B16" s="334">
        <v>1453</v>
      </c>
    </row>
    <row r="17" spans="1:6">
      <c r="A17" s="348" t="s">
        <v>7</v>
      </c>
      <c r="B17" s="334">
        <v>1863</v>
      </c>
    </row>
    <row r="18" spans="1:6">
      <c r="A18" s="348" t="s">
        <v>8</v>
      </c>
      <c r="B18" s="334">
        <v>2585</v>
      </c>
    </row>
    <row r="19" spans="1:6">
      <c r="A19" s="348" t="s">
        <v>9</v>
      </c>
      <c r="B19" s="334">
        <v>2295</v>
      </c>
    </row>
    <row r="20" spans="1:6">
      <c r="A20" s="348" t="s">
        <v>10</v>
      </c>
      <c r="B20" s="334">
        <v>1503</v>
      </c>
    </row>
    <row r="21" spans="1:6">
      <c r="A21" s="348" t="s">
        <v>11</v>
      </c>
      <c r="B21" s="334">
        <v>11524</v>
      </c>
    </row>
    <row r="22" spans="1:6">
      <c r="A22" s="348" t="s">
        <v>12</v>
      </c>
      <c r="B22" s="334">
        <v>15414</v>
      </c>
    </row>
    <row r="23" spans="1:6">
      <c r="A23" s="348" t="s">
        <v>13</v>
      </c>
      <c r="B23" s="334">
        <v>657</v>
      </c>
    </row>
    <row r="24" spans="1:6">
      <c r="A24" s="348" t="s">
        <v>14</v>
      </c>
      <c r="B24" s="334">
        <v>14</v>
      </c>
    </row>
    <row r="25" spans="1:6">
      <c r="A25" s="348" t="s">
        <v>15</v>
      </c>
      <c r="B25" s="334">
        <v>2510</v>
      </c>
    </row>
    <row r="26" spans="1:6">
      <c r="A26" s="348" t="s">
        <v>16</v>
      </c>
      <c r="B26" s="334">
        <v>334</v>
      </c>
    </row>
    <row r="27" spans="1:6">
      <c r="A27" s="348" t="s">
        <v>17</v>
      </c>
      <c r="B27" s="334">
        <v>0</v>
      </c>
    </row>
    <row r="28" spans="1:6" s="356" customFormat="1">
      <c r="A28" s="355" t="s">
        <v>18</v>
      </c>
      <c r="B28" s="355">
        <v>11265</v>
      </c>
    </row>
    <row r="29" spans="1:6">
      <c r="A29" s="355" t="s">
        <v>828</v>
      </c>
      <c r="B29" s="355">
        <v>126</v>
      </c>
      <c r="C29" s="356"/>
      <c r="D29" s="356"/>
      <c r="E29" s="356"/>
      <c r="F29" s="356"/>
    </row>
    <row r="30" spans="1:6">
      <c r="A30" s="341" t="s">
        <v>829</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37013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16319</v>
      </c>
    </row>
    <row r="39" spans="1:6">
      <c r="A39" s="348" t="s">
        <v>30</v>
      </c>
      <c r="B39" s="348" t="s">
        <v>31</v>
      </c>
      <c r="C39" s="334">
        <v>3413</v>
      </c>
      <c r="D39" s="334">
        <v>56130281.913929202</v>
      </c>
      <c r="E39" s="334">
        <v>5244</v>
      </c>
      <c r="F39" s="334">
        <v>23116147.699999999</v>
      </c>
    </row>
    <row r="40" spans="1:6">
      <c r="A40" s="348" t="s">
        <v>30</v>
      </c>
      <c r="B40" s="348" t="s">
        <v>29</v>
      </c>
      <c r="C40" s="334">
        <v>1</v>
      </c>
      <c r="D40" s="334">
        <v>19251</v>
      </c>
      <c r="E40" s="334">
        <v>0</v>
      </c>
      <c r="F40" s="334">
        <v>0</v>
      </c>
    </row>
    <row r="41" spans="1:6">
      <c r="A41" s="348" t="s">
        <v>32</v>
      </c>
      <c r="B41" s="348" t="s">
        <v>33</v>
      </c>
      <c r="C41" s="334">
        <v>52</v>
      </c>
      <c r="D41" s="334">
        <v>1287815.81292085</v>
      </c>
      <c r="E41" s="334">
        <v>138</v>
      </c>
      <c r="F41" s="334">
        <v>1984736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193768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14590996</v>
      </c>
    </row>
    <row r="48" spans="1:6">
      <c r="A48" s="348" t="s">
        <v>32</v>
      </c>
      <c r="B48" s="348" t="s">
        <v>29</v>
      </c>
      <c r="C48" s="334">
        <v>26</v>
      </c>
      <c r="D48" s="334">
        <v>18097648.678640801</v>
      </c>
      <c r="E48" s="334">
        <v>2</v>
      </c>
      <c r="F48" s="334">
        <v>161816</v>
      </c>
    </row>
    <row r="49" spans="1:6">
      <c r="A49" s="348" t="s">
        <v>32</v>
      </c>
      <c r="B49" s="348" t="s">
        <v>40</v>
      </c>
      <c r="C49" s="334">
        <v>0</v>
      </c>
      <c r="D49" s="334">
        <v>0</v>
      </c>
      <c r="E49" s="334">
        <v>3</v>
      </c>
      <c r="F49" s="334">
        <v>8630</v>
      </c>
    </row>
    <row r="50" spans="1:6">
      <c r="A50" s="348" t="s">
        <v>32</v>
      </c>
      <c r="B50" s="348" t="s">
        <v>41</v>
      </c>
      <c r="C50" s="334">
        <v>6</v>
      </c>
      <c r="D50" s="334">
        <v>387587.31649857701</v>
      </c>
      <c r="E50" s="334">
        <v>17</v>
      </c>
      <c r="F50" s="334">
        <v>629587</v>
      </c>
    </row>
    <row r="51" spans="1:6">
      <c r="A51" s="348" t="s">
        <v>42</v>
      </c>
      <c r="B51" s="348" t="s">
        <v>43</v>
      </c>
      <c r="C51" s="334">
        <v>24</v>
      </c>
      <c r="D51" s="334">
        <v>33934098.108166501</v>
      </c>
      <c r="E51" s="334">
        <v>147</v>
      </c>
      <c r="F51" s="334">
        <v>2441346</v>
      </c>
    </row>
    <row r="52" spans="1:6">
      <c r="A52" s="348" t="s">
        <v>42</v>
      </c>
      <c r="B52" s="348" t="s">
        <v>29</v>
      </c>
      <c r="C52" s="334">
        <v>5</v>
      </c>
      <c r="D52" s="334">
        <v>156866.17835274799</v>
      </c>
      <c r="E52" s="334">
        <v>0</v>
      </c>
      <c r="F52" s="334">
        <v>0</v>
      </c>
    </row>
    <row r="53" spans="1:6">
      <c r="A53" s="348" t="s">
        <v>44</v>
      </c>
      <c r="B53" s="348" t="s">
        <v>45</v>
      </c>
      <c r="C53" s="334">
        <v>99</v>
      </c>
      <c r="D53" s="334">
        <v>1666520.81824917</v>
      </c>
      <c r="E53" s="334">
        <v>0</v>
      </c>
      <c r="F53" s="334">
        <v>0</v>
      </c>
    </row>
    <row r="54" spans="1:6">
      <c r="A54" s="348" t="s">
        <v>46</v>
      </c>
      <c r="B54" s="348" t="s">
        <v>47</v>
      </c>
      <c r="C54" s="334">
        <v>0</v>
      </c>
      <c r="D54" s="334">
        <v>0</v>
      </c>
      <c r="E54" s="334">
        <v>76</v>
      </c>
      <c r="F54" s="334">
        <v>1056364</v>
      </c>
    </row>
    <row r="55" spans="1:6">
      <c r="A55" s="348" t="s">
        <v>46</v>
      </c>
      <c r="B55" s="348" t="s">
        <v>29</v>
      </c>
      <c r="C55" s="334">
        <v>0</v>
      </c>
      <c r="D55" s="334">
        <v>0</v>
      </c>
      <c r="E55" s="334">
        <v>0</v>
      </c>
      <c r="F55" s="334">
        <v>0</v>
      </c>
    </row>
    <row r="56" spans="1:6">
      <c r="A56" s="348" t="s">
        <v>48</v>
      </c>
      <c r="B56" s="348" t="s">
        <v>29</v>
      </c>
      <c r="C56" s="334">
        <v>0</v>
      </c>
      <c r="D56" s="334">
        <v>0</v>
      </c>
      <c r="E56" s="334">
        <v>119</v>
      </c>
      <c r="F56" s="334">
        <v>493726</v>
      </c>
    </row>
    <row r="57" spans="1:6">
      <c r="A57" s="348" t="s">
        <v>49</v>
      </c>
      <c r="B57" s="348" t="s">
        <v>50</v>
      </c>
      <c r="C57" s="334">
        <v>50</v>
      </c>
      <c r="D57" s="334">
        <v>3341341.41893165</v>
      </c>
      <c r="E57" s="334">
        <v>71</v>
      </c>
      <c r="F57" s="334">
        <v>1498772</v>
      </c>
    </row>
    <row r="58" spans="1:6">
      <c r="A58" s="348" t="s">
        <v>49</v>
      </c>
      <c r="B58" s="348" t="s">
        <v>51</v>
      </c>
      <c r="C58" s="334">
        <v>35</v>
      </c>
      <c r="D58" s="334">
        <v>1039902.52446671</v>
      </c>
      <c r="E58" s="334">
        <v>53</v>
      </c>
      <c r="F58" s="334">
        <v>1300983</v>
      </c>
    </row>
    <row r="59" spans="1:6">
      <c r="A59" s="348" t="s">
        <v>49</v>
      </c>
      <c r="B59" s="348" t="s">
        <v>52</v>
      </c>
      <c r="C59" s="334">
        <v>57</v>
      </c>
      <c r="D59" s="334">
        <v>1847321.59236487</v>
      </c>
      <c r="E59" s="334">
        <v>183</v>
      </c>
      <c r="F59" s="334">
        <v>5490592.1162790693</v>
      </c>
    </row>
    <row r="60" spans="1:6">
      <c r="A60" s="348" t="s">
        <v>49</v>
      </c>
      <c r="B60" s="348" t="s">
        <v>53</v>
      </c>
      <c r="C60" s="334">
        <v>43</v>
      </c>
      <c r="D60" s="334">
        <v>2304601.5367962499</v>
      </c>
      <c r="E60" s="334">
        <v>59</v>
      </c>
      <c r="F60" s="334">
        <v>2226116</v>
      </c>
    </row>
    <row r="61" spans="1:6">
      <c r="A61" s="348" t="s">
        <v>49</v>
      </c>
      <c r="B61" s="348" t="s">
        <v>54</v>
      </c>
      <c r="C61" s="334">
        <v>96</v>
      </c>
      <c r="D61" s="334">
        <v>3327629.2943277801</v>
      </c>
      <c r="E61" s="334">
        <v>339</v>
      </c>
      <c r="F61" s="334">
        <v>4821341</v>
      </c>
    </row>
    <row r="62" spans="1:6">
      <c r="A62" s="348" t="s">
        <v>49</v>
      </c>
      <c r="B62" s="348" t="s">
        <v>55</v>
      </c>
      <c r="C62" s="334">
        <v>5</v>
      </c>
      <c r="D62" s="334">
        <v>661982.68912738003</v>
      </c>
      <c r="E62" s="334">
        <v>7</v>
      </c>
      <c r="F62" s="334">
        <v>36474</v>
      </c>
    </row>
    <row r="63" spans="1:6">
      <c r="A63" s="348" t="s">
        <v>49</v>
      </c>
      <c r="B63" s="348" t="s">
        <v>29</v>
      </c>
      <c r="C63" s="334">
        <v>86</v>
      </c>
      <c r="D63" s="334">
        <v>3006630.39761848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194554.48089898101</v>
      </c>
      <c r="E68" s="334">
        <v>3</v>
      </c>
      <c r="F68" s="334">
        <v>31463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69678284</v>
      </c>
      <c r="E73" s="477">
        <v>69844111.98476781</v>
      </c>
    </row>
    <row r="74" spans="1:6">
      <c r="A74" s="348" t="s">
        <v>64</v>
      </c>
      <c r="B74" s="348" t="s">
        <v>714</v>
      </c>
      <c r="C74" s="1229" t="s">
        <v>716</v>
      </c>
      <c r="D74" s="477">
        <v>3517226.130232418</v>
      </c>
      <c r="E74" s="477">
        <v>3513595.2774128243</v>
      </c>
    </row>
    <row r="75" spans="1:6">
      <c r="A75" s="348" t="s">
        <v>65</v>
      </c>
      <c r="B75" s="348" t="s">
        <v>713</v>
      </c>
      <c r="C75" s="1229" t="s">
        <v>717</v>
      </c>
      <c r="D75" s="477">
        <v>26267265</v>
      </c>
      <c r="E75" s="477">
        <v>25195887.818654768</v>
      </c>
    </row>
    <row r="76" spans="1:6">
      <c r="A76" s="348" t="s">
        <v>65</v>
      </c>
      <c r="B76" s="348" t="s">
        <v>714</v>
      </c>
      <c r="C76" s="1229" t="s">
        <v>718</v>
      </c>
      <c r="D76" s="477">
        <v>877568.13023241819</v>
      </c>
      <c r="E76" s="477">
        <v>859959.29962743598</v>
      </c>
    </row>
    <row r="77" spans="1:6">
      <c r="A77" s="348" t="s">
        <v>66</v>
      </c>
      <c r="B77" s="348" t="s">
        <v>713</v>
      </c>
      <c r="C77" s="1229" t="s">
        <v>719</v>
      </c>
      <c r="D77" s="477">
        <v>162680981</v>
      </c>
      <c r="E77" s="477">
        <v>180662212.14021271</v>
      </c>
    </row>
    <row r="78" spans="1:6">
      <c r="A78" s="341" t="s">
        <v>66</v>
      </c>
      <c r="B78" s="341" t="s">
        <v>714</v>
      </c>
      <c r="C78" s="341" t="s">
        <v>720</v>
      </c>
      <c r="D78" s="1225">
        <v>25054313</v>
      </c>
      <c r="E78" s="1225">
        <v>28718792.437466864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376983.73953516368</v>
      </c>
      <c r="C83" s="477">
        <v>380201.85197901743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3161.9337899023053</v>
      </c>
    </row>
    <row r="92" spans="1:6">
      <c r="A92" s="341" t="s">
        <v>69</v>
      </c>
      <c r="B92" s="342">
        <v>1644.9633402263019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62779.798282766555</v>
      </c>
      <c r="C3" s="43" t="s">
        <v>170</v>
      </c>
      <c r="D3" s="43"/>
      <c r="E3" s="154"/>
      <c r="F3" s="43"/>
      <c r="G3" s="43"/>
      <c r="H3" s="43"/>
      <c r="I3" s="43"/>
      <c r="J3" s="43"/>
      <c r="K3" s="96"/>
    </row>
    <row r="4" spans="1:11">
      <c r="A4" s="384" t="s">
        <v>171</v>
      </c>
      <c r="B4" s="49">
        <f>IF(ISERROR('SEAP template'!B69),0,'SEAP template'!B69)</f>
        <v>13875.297130128607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2144.7052941176476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0.20631796219718349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3063.8647058823535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12954.857142857143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0.23650316418746939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1056.364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0.20631796219718349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217.94686781846553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23116.147699999998</v>
      </c>
      <c r="C5" s="17">
        <f>IF(ISERROR('Eigen informatie GS &amp; warmtenet'!B57),0,'Eigen informatie GS &amp; warmtenet'!B57)</f>
        <v>0</v>
      </c>
      <c r="D5" s="30">
        <f>(SUM(HH_hh_gas_kWh,HH_rest_gas_kWh)/1000)*0.902</f>
        <v>50646.878688364137</v>
      </c>
      <c r="E5" s="17">
        <f>B46*B57</f>
        <v>2611.4707347110343</v>
      </c>
      <c r="F5" s="17">
        <f>B51*B62</f>
        <v>18213.73795455592</v>
      </c>
      <c r="G5" s="18"/>
      <c r="H5" s="17"/>
      <c r="I5" s="17"/>
      <c r="J5" s="17">
        <f>B50*B61+C50*C61</f>
        <v>0</v>
      </c>
      <c r="K5" s="17"/>
      <c r="L5" s="17"/>
      <c r="M5" s="17"/>
      <c r="N5" s="17">
        <f>B48*B59+C48*C59</f>
        <v>12565.576213899236</v>
      </c>
      <c r="O5" s="17">
        <f>B69*B70*B71</f>
        <v>221.99333333333334</v>
      </c>
      <c r="P5" s="17">
        <f>B77*B78*B79/1000-B77*B78*B79/1000/B80</f>
        <v>514.79999999999995</v>
      </c>
    </row>
    <row r="6" spans="1:16">
      <c r="A6" s="16" t="s">
        <v>631</v>
      </c>
      <c r="B6" s="844">
        <f>kWh_PV_kleiner_dan_10kW</f>
        <v>3161.9337899023053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26278.081489902303</v>
      </c>
      <c r="C8" s="21">
        <f>C5</f>
        <v>0</v>
      </c>
      <c r="D8" s="21">
        <f>D5</f>
        <v>50646.878688364137</v>
      </c>
      <c r="E8" s="21">
        <f>E5</f>
        <v>2611.4707347110343</v>
      </c>
      <c r="F8" s="21">
        <f>F5</f>
        <v>18213.73795455592</v>
      </c>
      <c r="G8" s="21"/>
      <c r="H8" s="21"/>
      <c r="I8" s="21"/>
      <c r="J8" s="21">
        <f>J5</f>
        <v>0</v>
      </c>
      <c r="K8" s="21"/>
      <c r="L8" s="21">
        <f>L5</f>
        <v>0</v>
      </c>
      <c r="M8" s="21">
        <f>M5</f>
        <v>0</v>
      </c>
      <c r="N8" s="21">
        <f>N5</f>
        <v>12565.576213899236</v>
      </c>
      <c r="O8" s="21">
        <f>O5</f>
        <v>221.99333333333334</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0.20631796219718349</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5421.6402234481702</v>
      </c>
      <c r="C12" s="23">
        <f ca="1">C10*C8</f>
        <v>0</v>
      </c>
      <c r="D12" s="23">
        <f>D8*D10</f>
        <v>10230.669495049557</v>
      </c>
      <c r="E12" s="23">
        <f>E10*E8</f>
        <v>592.80385677940478</v>
      </c>
      <c r="F12" s="23">
        <f>F10*F8</f>
        <v>4863.0680338664306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5519</v>
      </c>
      <c r="C28" s="36"/>
      <c r="D28" s="228"/>
    </row>
    <row r="29" spans="1:7" s="15" customFormat="1">
      <c r="A29" s="230" t="s">
        <v>741</v>
      </c>
      <c r="B29" s="37">
        <f>SUM(HH_hh_gas_aantal,HH_rest_gas_aantal)</f>
        <v>3414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3414</v>
      </c>
      <c r="C32" s="167">
        <f>IF(ISERROR(B32/SUM($B$32,$B$34,$B$35,$B$36,$B$38,$B$39)*100),0,B32/SUM($B$32,$B$34,$B$35,$B$36,$B$38,$B$39)*100)</f>
        <v>62.163146394756005</v>
      </c>
      <c r="D32" s="233"/>
      <c r="G32" s="15"/>
    </row>
    <row r="33" spans="1:7">
      <c r="A33" s="171" t="s">
        <v>72</v>
      </c>
      <c r="B33" s="34" t="s">
        <v>111</v>
      </c>
      <c r="C33" s="167"/>
      <c r="D33" s="233"/>
      <c r="G33" s="15"/>
    </row>
    <row r="34" spans="1:7">
      <c r="A34" s="171" t="s">
        <v>73</v>
      </c>
      <c r="B34" s="33">
        <f>IF((($B$28-$B$32-$B$39-$B$77-$B$38)*C20/100)&lt;0,0,($B$28-$B$32-$B$39-$B$77-$B$38)*C20/100)</f>
        <v>175.02573839662452</v>
      </c>
      <c r="C34" s="167">
        <f>IF(ISERROR(B34/SUM($B$32,$B$34,$B$35,$B$36,$B$38,$B$39)*100),0,B34/SUM($B$32,$B$34,$B$35,$B$36,$B$38,$B$39)*100)</f>
        <v>3.186921675102413</v>
      </c>
      <c r="D34" s="233"/>
      <c r="G34" s="15"/>
    </row>
    <row r="35" spans="1:7">
      <c r="A35" s="171" t="s">
        <v>74</v>
      </c>
      <c r="B35" s="33">
        <f>IF((($B$28-$B$32-$B$39-$B$77-$B$38)*C21/100)&lt;0,0,($B$28-$B$32-$B$39-$B$77-$B$38)*C21/100)</f>
        <v>940.99859353023919</v>
      </c>
      <c r="C35" s="167">
        <f>IF(ISERROR(B35/SUM($B$32,$B$34,$B$35,$B$36,$B$38,$B$39)*100),0,B35/SUM($B$32,$B$34,$B$35,$B$36,$B$38,$B$39)*100)</f>
        <v>17.133987500550603</v>
      </c>
      <c r="D35" s="233"/>
      <c r="G35" s="15"/>
    </row>
    <row r="36" spans="1:7">
      <c r="A36" s="171" t="s">
        <v>75</v>
      </c>
      <c r="B36" s="33">
        <f>IF((($B$28-$B$32-$B$39-$B$77-$B$38)*C22/100)&lt;0,0,($B$28-$B$32-$B$39-$B$77-$B$38)*C22/100)</f>
        <v>222.07566807313643</v>
      </c>
      <c r="C36" s="167">
        <f>IF(ISERROR(B36/SUM($B$32,$B$34,$B$35,$B$36,$B$38,$B$39)*100),0,B36/SUM($B$32,$B$34,$B$35,$B$36,$B$38,$B$39)*100)</f>
        <v>4.0436210501299419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739.89999999999986</v>
      </c>
      <c r="C39" s="167">
        <f>IF(ISERROR(B39/SUM($B$32,$B$34,$B$35,$B$36,$B$38,$B$39)*100),0,B39/SUM($B$32,$B$34,$B$35,$B$36,$B$38,$B$39)*100)</f>
        <v>13.472323379461033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3414</v>
      </c>
      <c r="C44" s="34" t="s">
        <v>111</v>
      </c>
      <c r="D44" s="174"/>
    </row>
    <row r="45" spans="1:7">
      <c r="A45" s="171" t="s">
        <v>72</v>
      </c>
      <c r="B45" s="33" t="str">
        <f t="shared" si="0"/>
        <v>-</v>
      </c>
      <c r="C45" s="34" t="s">
        <v>111</v>
      </c>
      <c r="D45" s="174"/>
    </row>
    <row r="46" spans="1:7">
      <c r="A46" s="171" t="s">
        <v>73</v>
      </c>
      <c r="B46" s="33">
        <f t="shared" si="0"/>
        <v>175.02573839662452</v>
      </c>
      <c r="C46" s="34" t="s">
        <v>111</v>
      </c>
      <c r="D46" s="174"/>
    </row>
    <row r="47" spans="1:7">
      <c r="A47" s="171" t="s">
        <v>74</v>
      </c>
      <c r="B47" s="33">
        <f t="shared" si="0"/>
        <v>940.99859353023919</v>
      </c>
      <c r="C47" s="34" t="s">
        <v>111</v>
      </c>
      <c r="D47" s="174"/>
    </row>
    <row r="48" spans="1:7">
      <c r="A48" s="171" t="s">
        <v>75</v>
      </c>
      <c r="B48" s="33">
        <f t="shared" si="0"/>
        <v>222.07566807313643</v>
      </c>
      <c r="C48" s="33">
        <f>B48*10</f>
        <v>2220.7566807313642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739.89999999999986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15374.278116279069</v>
      </c>
      <c r="C5" s="17">
        <f>IF(ISERROR('Eigen informatie GS &amp; warmtenet'!B58),0,'Eigen informatie GS &amp; warmtenet'!B58)</f>
        <v>0</v>
      </c>
      <c r="D5" s="30">
        <f>SUM(D6:D12)</f>
        <v>14007.527327177075</v>
      </c>
      <c r="E5" s="17">
        <f>SUM(E6:E12)</f>
        <v>172.58504166720584</v>
      </c>
      <c r="F5" s="17">
        <f>SUM(F6:F12)</f>
        <v>2237.2646221875611</v>
      </c>
      <c r="G5" s="18"/>
      <c r="H5" s="17"/>
      <c r="I5" s="17"/>
      <c r="J5" s="17">
        <f>SUM(J6:J12)</f>
        <v>0</v>
      </c>
      <c r="K5" s="17"/>
      <c r="L5" s="17"/>
      <c r="M5" s="17"/>
      <c r="N5" s="17">
        <f>SUM(N6:N12)</f>
        <v>1159.6601917520429</v>
      </c>
      <c r="O5" s="17">
        <f>B38*B39*B40</f>
        <v>0</v>
      </c>
      <c r="P5" s="17">
        <f>B46*B47*B48/1000-B46*B47*B48/1000/B49</f>
        <v>57.2</v>
      </c>
      <c r="R5" s="32"/>
    </row>
    <row r="6" spans="1:18">
      <c r="A6" s="32" t="s">
        <v>54</v>
      </c>
      <c r="B6" s="37">
        <f>B26</f>
        <v>4821.3410000000003</v>
      </c>
      <c r="C6" s="33"/>
      <c r="D6" s="37">
        <f>IF(ISERROR(TER_kantoor_gas_kWh/1000),0,TER_kantoor_gas_kWh/1000)*0.902</f>
        <v>3001.5216234836575</v>
      </c>
      <c r="E6" s="33">
        <f>$C$26*'E Balans VL '!I12/100/3.6*1000000</f>
        <v>13.96813226802751</v>
      </c>
      <c r="F6" s="33">
        <f>$C$26*('E Balans VL '!L12+'E Balans VL '!N12)/100/3.6*1000000</f>
        <v>545.66957882209999</v>
      </c>
      <c r="G6" s="34"/>
      <c r="H6" s="33"/>
      <c r="I6" s="33"/>
      <c r="J6" s="33">
        <f>$C$26*('E Balans VL '!D12+'E Balans VL '!E12)/100/3.6*1000000</f>
        <v>0</v>
      </c>
      <c r="K6" s="33"/>
      <c r="L6" s="33"/>
      <c r="M6" s="33"/>
      <c r="N6" s="33">
        <f>$C$26*'E Balans VL '!Y12/100/3.6*1000000</f>
        <v>48.258070887335442</v>
      </c>
      <c r="O6" s="33"/>
      <c r="P6" s="33"/>
      <c r="R6" s="32"/>
    </row>
    <row r="7" spans="1:18">
      <c r="A7" s="32" t="s">
        <v>53</v>
      </c>
      <c r="B7" s="37">
        <f t="shared" ref="B7:B12" si="0">B27</f>
        <v>2226.116</v>
      </c>
      <c r="C7" s="33"/>
      <c r="D7" s="37">
        <f>IF(ISERROR(TER_horeca_gas_kWh/1000),0,TER_horeca_gas_kWh/1000)*0.902</f>
        <v>2078.7505861902177</v>
      </c>
      <c r="E7" s="33">
        <f>$C$27*'E Balans VL '!I9/100/3.6*1000000</f>
        <v>93.446130034820015</v>
      </c>
      <c r="F7" s="33">
        <f>$C$27*('E Balans VL '!L9+'E Balans VL '!N9)/100/3.6*1000000</f>
        <v>478.32667340810764</v>
      </c>
      <c r="G7" s="34"/>
      <c r="H7" s="33"/>
      <c r="I7" s="33"/>
      <c r="J7" s="33">
        <f>$C$27*('E Balans VL '!D9+'E Balans VL '!E9)/100/3.6*1000000</f>
        <v>0</v>
      </c>
      <c r="K7" s="33"/>
      <c r="L7" s="33"/>
      <c r="M7" s="33"/>
      <c r="N7" s="33">
        <f>$C$27*'E Balans VL '!Y9/100/3.6*1000000</f>
        <v>0.57365062510932996</v>
      </c>
      <c r="O7" s="33"/>
      <c r="P7" s="33"/>
      <c r="R7" s="32"/>
    </row>
    <row r="8" spans="1:18">
      <c r="A8" s="6" t="s">
        <v>52</v>
      </c>
      <c r="B8" s="37">
        <f t="shared" si="0"/>
        <v>5490.5921162790692</v>
      </c>
      <c r="C8" s="33"/>
      <c r="D8" s="37">
        <f>IF(ISERROR(TER_handel_gas_kWh/1000),0,TER_handel_gas_kWh/1000)*0.902</f>
        <v>1666.2840763131128</v>
      </c>
      <c r="E8" s="33">
        <f>$C$28*'E Balans VL '!I13/100/3.6*1000000</f>
        <v>58.973529018754874</v>
      </c>
      <c r="F8" s="33">
        <f>$C$28*('E Balans VL '!L13+'E Balans VL '!N13)/100/3.6*1000000</f>
        <v>710.8024898273394</v>
      </c>
      <c r="G8" s="34"/>
      <c r="H8" s="33"/>
      <c r="I8" s="33"/>
      <c r="J8" s="33">
        <f>$C$28*('E Balans VL '!D13+'E Balans VL '!E13)/100/3.6*1000000</f>
        <v>0</v>
      </c>
      <c r="K8" s="33"/>
      <c r="L8" s="33"/>
      <c r="M8" s="33"/>
      <c r="N8" s="33">
        <f>$C$28*'E Balans VL '!Y13/100/3.6*1000000</f>
        <v>44.539983046620492</v>
      </c>
      <c r="O8" s="33"/>
      <c r="P8" s="33"/>
      <c r="R8" s="32"/>
    </row>
    <row r="9" spans="1:18">
      <c r="A9" s="32" t="s">
        <v>51</v>
      </c>
      <c r="B9" s="37">
        <f t="shared" si="0"/>
        <v>1300.9829999999999</v>
      </c>
      <c r="C9" s="33"/>
      <c r="D9" s="37">
        <f>IF(ISERROR(TER_gezond_gas_kWh/1000),0,TER_gezond_gas_kWh/1000)*0.902</f>
        <v>937.99207706897243</v>
      </c>
      <c r="E9" s="33">
        <f>$C$29*'E Balans VL '!I10/100/3.6*1000000</f>
        <v>1.0356666133261201</v>
      </c>
      <c r="F9" s="33">
        <f>$C$29*('E Balans VL '!L10+'E Balans VL '!N10)/100/3.6*1000000</f>
        <v>158.15328454775448</v>
      </c>
      <c r="G9" s="34"/>
      <c r="H9" s="33"/>
      <c r="I9" s="33"/>
      <c r="J9" s="33">
        <f>$C$29*('E Balans VL '!D10+'E Balans VL '!E10)/100/3.6*1000000</f>
        <v>0</v>
      </c>
      <c r="K9" s="33"/>
      <c r="L9" s="33"/>
      <c r="M9" s="33"/>
      <c r="N9" s="33">
        <f>$C$29*'E Balans VL '!Y10/100/3.6*1000000</f>
        <v>10.50899600120043</v>
      </c>
      <c r="O9" s="33"/>
      <c r="P9" s="33"/>
      <c r="R9" s="32"/>
    </row>
    <row r="10" spans="1:18">
      <c r="A10" s="32" t="s">
        <v>50</v>
      </c>
      <c r="B10" s="37">
        <f t="shared" si="0"/>
        <v>1498.7719999999999</v>
      </c>
      <c r="C10" s="33"/>
      <c r="D10" s="37">
        <f>IF(ISERROR(TER_ander_gas_kWh/1000),0,TER_ander_gas_kWh/1000)*0.902</f>
        <v>3013.8899598763483</v>
      </c>
      <c r="E10" s="33">
        <f>$C$30*'E Balans VL '!I14/100/3.6*1000000</f>
        <v>5.1363703793881097</v>
      </c>
      <c r="F10" s="33">
        <f>$C$30*('E Balans VL '!L14+'E Balans VL '!N14)/100/3.6*1000000</f>
        <v>334.76476188007092</v>
      </c>
      <c r="G10" s="34"/>
      <c r="H10" s="33"/>
      <c r="I10" s="33"/>
      <c r="J10" s="33">
        <f>$C$30*('E Balans VL '!D14+'E Balans VL '!E14)/100/3.6*1000000</f>
        <v>0</v>
      </c>
      <c r="K10" s="33"/>
      <c r="L10" s="33"/>
      <c r="M10" s="33"/>
      <c r="N10" s="33">
        <f>$C$30*'E Balans VL '!Y14/100/3.6*1000000</f>
        <v>1055.7431844313901</v>
      </c>
      <c r="O10" s="33"/>
      <c r="P10" s="33"/>
      <c r="R10" s="32"/>
    </row>
    <row r="11" spans="1:18">
      <c r="A11" s="32" t="s">
        <v>55</v>
      </c>
      <c r="B11" s="37">
        <f t="shared" si="0"/>
        <v>36.473999999999997</v>
      </c>
      <c r="C11" s="33"/>
      <c r="D11" s="37">
        <f>IF(ISERROR(TER_onderwijs_gas_kWh/1000),0,TER_onderwijs_gas_kWh/1000)*0.902</f>
        <v>597.10838559289675</v>
      </c>
      <c r="E11" s="33">
        <f>$C$31*'E Balans VL '!I11/100/3.6*1000000</f>
        <v>2.521335288920596E-2</v>
      </c>
      <c r="F11" s="33">
        <f>$C$31*('E Balans VL '!L11+'E Balans VL '!N11)/100/3.6*1000000</f>
        <v>9.5478337021886528</v>
      </c>
      <c r="G11" s="34"/>
      <c r="H11" s="33"/>
      <c r="I11" s="33"/>
      <c r="J11" s="33">
        <f>$C$31*('E Balans VL '!D11+'E Balans VL '!E11)/100/3.6*1000000</f>
        <v>0</v>
      </c>
      <c r="K11" s="33"/>
      <c r="L11" s="33"/>
      <c r="M11" s="33"/>
      <c r="N11" s="33">
        <f>$C$31*'E Balans VL '!Y11/100/3.6*1000000</f>
        <v>3.6306760387021485E-2</v>
      </c>
      <c r="O11" s="33"/>
      <c r="P11" s="33"/>
      <c r="R11" s="32"/>
    </row>
    <row r="12" spans="1:18">
      <c r="A12" s="32" t="s">
        <v>260</v>
      </c>
      <c r="B12" s="37">
        <f t="shared" si="0"/>
        <v>0</v>
      </c>
      <c r="C12" s="33"/>
      <c r="D12" s="37">
        <f>IF(ISERROR(TER_rest_gas_kWh/1000),0,TER_rest_gas_kWh/1000)*0.902</f>
        <v>2711.980618651869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15399.028116279069</v>
      </c>
      <c r="C16" s="21">
        <f t="shared" ca="1" si="1"/>
        <v>35.357142857142861</v>
      </c>
      <c r="D16" s="21">
        <f t="shared" ca="1" si="1"/>
        <v>13936.813041462789</v>
      </c>
      <c r="E16" s="21">
        <f t="shared" si="1"/>
        <v>172.58504166720584</v>
      </c>
      <c r="F16" s="21">
        <f t="shared" ca="1" si="1"/>
        <v>2237.2646221875611</v>
      </c>
      <c r="G16" s="21">
        <f t="shared" si="1"/>
        <v>0</v>
      </c>
      <c r="H16" s="21">
        <f t="shared" si="1"/>
        <v>0</v>
      </c>
      <c r="I16" s="21">
        <f t="shared" si="1"/>
        <v>0</v>
      </c>
      <c r="J16" s="21">
        <f t="shared" si="1"/>
        <v>0</v>
      </c>
      <c r="K16" s="21">
        <f t="shared" si="1"/>
        <v>0</v>
      </c>
      <c r="L16" s="21">
        <f t="shared" ca="1" si="1"/>
        <v>0</v>
      </c>
      <c r="M16" s="21">
        <f t="shared" si="1"/>
        <v>0</v>
      </c>
      <c r="N16" s="21">
        <f t="shared" ca="1" si="1"/>
        <v>1159.6601917520429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0.20631796219718349</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3177.0961007678306</v>
      </c>
      <c r="C20" s="23">
        <f t="shared" ref="C20:P20" ca="1" si="2">C16*C18</f>
        <v>8.3620761623426692</v>
      </c>
      <c r="D20" s="23">
        <f t="shared" ca="1" si="2"/>
        <v>2815.2362343754835</v>
      </c>
      <c r="E20" s="23">
        <f t="shared" si="2"/>
        <v>39.176804458455727</v>
      </c>
      <c r="F20" s="23">
        <f t="shared" ca="1" si="2"/>
        <v>597.34965412407882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4821.3410000000003</v>
      </c>
      <c r="C26" s="39">
        <f>IF(ISERROR(B26*3.6/1000000/'E Balans VL '!Z12*100),0,B26*3.6/1000000/'E Balans VL '!Z12*100)</f>
        <v>0.10590632909336384</v>
      </c>
      <c r="D26" s="237" t="s">
        <v>692</v>
      </c>
      <c r="F26" s="6"/>
    </row>
    <row r="27" spans="1:18">
      <c r="A27" s="231" t="s">
        <v>53</v>
      </c>
      <c r="B27" s="33">
        <f>IF(ISERROR(TER_horeca_ele_kWh/1000),0,TER_horeca_ele_kWh/1000)</f>
        <v>2226.116</v>
      </c>
      <c r="C27" s="39">
        <f>IF(ISERROR(B27*3.6/1000000/'E Balans VL '!Z9*100),0,B27*3.6/1000000/'E Balans VL '!Z9*100)</f>
        <v>0.17889061078637805</v>
      </c>
      <c r="D27" s="237" t="s">
        <v>692</v>
      </c>
      <c r="F27" s="6"/>
    </row>
    <row r="28" spans="1:18">
      <c r="A28" s="171" t="s">
        <v>52</v>
      </c>
      <c r="B28" s="33">
        <f>IF(ISERROR(TER_handel_ele_kWh/1000),0,TER_handel_ele_kWh/1000)</f>
        <v>5490.5921162790692</v>
      </c>
      <c r="C28" s="39">
        <f>IF(ISERROR(B28*3.6/1000000/'E Balans VL '!Z13*100),0,B28*3.6/1000000/'E Balans VL '!Z13*100)</f>
        <v>0.16235297307018082</v>
      </c>
      <c r="D28" s="237" t="s">
        <v>692</v>
      </c>
      <c r="F28" s="6"/>
    </row>
    <row r="29" spans="1:18">
      <c r="A29" s="231" t="s">
        <v>51</v>
      </c>
      <c r="B29" s="33">
        <f>IF(ISERROR(TER_gezond_ele_kWh/1000),0,TER_gezond_ele_kWh/1000)</f>
        <v>1300.9829999999999</v>
      </c>
      <c r="C29" s="39">
        <f>IF(ISERROR(B29*3.6/1000000/'E Balans VL '!Z10*100),0,B29*3.6/1000000/'E Balans VL '!Z10*100)</f>
        <v>0.14658719567976675</v>
      </c>
      <c r="D29" s="237" t="s">
        <v>692</v>
      </c>
      <c r="F29" s="6"/>
    </row>
    <row r="30" spans="1:18">
      <c r="A30" s="231" t="s">
        <v>50</v>
      </c>
      <c r="B30" s="33">
        <f>IF(ISERROR(TER_ander_ele_kWh/1000),0,TER_ander_ele_kWh/1000)</f>
        <v>1498.7719999999999</v>
      </c>
      <c r="C30" s="39">
        <f>IF(ISERROR(B30*3.6/1000000/'E Balans VL '!Z14*100),0,B30*3.6/1000000/'E Balans VL '!Z14*100)</f>
        <v>0.1133495643249933</v>
      </c>
      <c r="D30" s="237" t="s">
        <v>692</v>
      </c>
      <c r="F30" s="6"/>
    </row>
    <row r="31" spans="1:18">
      <c r="A31" s="231" t="s">
        <v>55</v>
      </c>
      <c r="B31" s="33">
        <f>IF(ISERROR(TER_onderwijs_ele_kWh/1000),0,TER_onderwijs_ele_kWh/1000)</f>
        <v>36.473999999999997</v>
      </c>
      <c r="C31" s="39">
        <f>IF(ISERROR(B31*3.6/1000000/'E Balans VL '!Z11*100),0,B31*3.6/1000000/'E Balans VL '!Z11*100)</f>
        <v>7.5711556924395159E-3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17569.532999999999</v>
      </c>
      <c r="C5" s="17">
        <f>IF(ISERROR('Eigen informatie GS &amp; warmtenet'!B59),0,'Eigen informatie GS &amp; warmtenet'!B59)</f>
        <v>0</v>
      </c>
      <c r="D5" s="30">
        <f>SUM(D6:D15)</f>
        <v>17835.292730870329</v>
      </c>
      <c r="E5" s="17">
        <f>SUM(E6:E15)</f>
        <v>595.46251796331842</v>
      </c>
      <c r="F5" s="17">
        <f>SUM(F6:F15)</f>
        <v>3140.9712078175166</v>
      </c>
      <c r="G5" s="18"/>
      <c r="H5" s="17"/>
      <c r="I5" s="17"/>
      <c r="J5" s="17">
        <f>SUM(J6:J15)</f>
        <v>15.746948505663349</v>
      </c>
      <c r="K5" s="17"/>
      <c r="L5" s="17"/>
      <c r="M5" s="17"/>
      <c r="N5" s="17">
        <f>SUM(N6:N15)</f>
        <v>7170.7451689515992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193.768</v>
      </c>
      <c r="C8" s="33"/>
      <c r="D8" s="37">
        <f>IF( ISERROR(IND_metaal_Gas_kWH/1000),0,IND_metaal_Gas_kWH/1000)*0.902</f>
        <v>0</v>
      </c>
      <c r="E8" s="33">
        <f>C30*'E Balans VL '!I18/100/3.6*1000000</f>
        <v>4.8493348665289187</v>
      </c>
      <c r="F8" s="33">
        <f>C30*'E Balans VL '!L18/100/3.6*1000000+C30*'E Balans VL '!N18/100/3.6*1000000</f>
        <v>60.727855051600926</v>
      </c>
      <c r="G8" s="34"/>
      <c r="H8" s="33"/>
      <c r="I8" s="33"/>
      <c r="J8" s="40">
        <f>C30*'E Balans VL '!D18/100/3.6*1000000+C30*'E Balans VL '!E18/100/3.6*1000000</f>
        <v>0</v>
      </c>
      <c r="K8" s="33"/>
      <c r="L8" s="33"/>
      <c r="M8" s="33"/>
      <c r="N8" s="33">
        <f>C30*'E Balans VL '!Y18/100/3.6*1000000</f>
        <v>4.8679550318107605</v>
      </c>
      <c r="O8" s="33"/>
      <c r="P8" s="33"/>
      <c r="R8" s="32"/>
    </row>
    <row r="9" spans="1:18">
      <c r="A9" s="6" t="s">
        <v>33</v>
      </c>
      <c r="B9" s="37">
        <f t="shared" si="0"/>
        <v>1984.7360000000001</v>
      </c>
      <c r="C9" s="33"/>
      <c r="D9" s="37">
        <f>IF( ISERROR(IND_andere_gas_kWh/1000),0,IND_andere_gas_kWh/1000)*0.902</f>
        <v>1161.6098632546068</v>
      </c>
      <c r="E9" s="33">
        <f>C31*'E Balans VL '!I19/100/3.6*1000000</f>
        <v>545.72099594262011</v>
      </c>
      <c r="F9" s="33">
        <f>C31*'E Balans VL '!L19/100/3.6*1000000+C31*'E Balans VL '!N19/100/3.6*1000000</f>
        <v>1564.3173368607793</v>
      </c>
      <c r="G9" s="34"/>
      <c r="H9" s="33"/>
      <c r="I9" s="33"/>
      <c r="J9" s="40">
        <f>C31*'E Balans VL '!D19/100/3.6*1000000+C31*'E Balans VL '!E19/100/3.6*1000000</f>
        <v>0</v>
      </c>
      <c r="K9" s="33"/>
      <c r="L9" s="33"/>
      <c r="M9" s="33"/>
      <c r="N9" s="33">
        <f>C31*'E Balans VL '!Y19/100/3.6*1000000</f>
        <v>642.51143146379252</v>
      </c>
      <c r="O9" s="33"/>
      <c r="P9" s="33"/>
      <c r="R9" s="32"/>
    </row>
    <row r="10" spans="1:18">
      <c r="A10" s="6" t="s">
        <v>41</v>
      </c>
      <c r="B10" s="37">
        <f t="shared" si="0"/>
        <v>629.58699999999999</v>
      </c>
      <c r="C10" s="33"/>
      <c r="D10" s="37">
        <f>IF( ISERROR(IND_voed_gas_kWh/1000),0,IND_voed_gas_kWh/1000)*0.902</f>
        <v>349.60375948171651</v>
      </c>
      <c r="E10" s="33">
        <f>C32*'E Balans VL '!I20/100/3.6*1000000</f>
        <v>6.4182926235426132</v>
      </c>
      <c r="F10" s="33">
        <f>C32*'E Balans VL '!L20/100/3.6*1000000+C32*'E Balans VL '!N20/100/3.6*1000000</f>
        <v>1189.2859053134237</v>
      </c>
      <c r="G10" s="34"/>
      <c r="H10" s="33"/>
      <c r="I10" s="33"/>
      <c r="J10" s="40">
        <f>C32*'E Balans VL '!D20/100/3.6*1000000+C32*'E Balans VL '!E20/100/3.6*1000000</f>
        <v>15.06807692799052</v>
      </c>
      <c r="K10" s="33"/>
      <c r="L10" s="33"/>
      <c r="M10" s="33"/>
      <c r="N10" s="33">
        <f>C32*'E Balans VL '!Y20/100/3.6*1000000</f>
        <v>331.86486852979658</v>
      </c>
      <c r="O10" s="33"/>
      <c r="P10" s="33"/>
      <c r="R10" s="32"/>
    </row>
    <row r="11" spans="1:18">
      <c r="A11" s="6" t="s">
        <v>40</v>
      </c>
      <c r="B11" s="37">
        <f t="shared" si="0"/>
        <v>8.6300000000000008</v>
      </c>
      <c r="C11" s="33"/>
      <c r="D11" s="37">
        <f>IF( ISERROR(IND_textiel_gas_kWh/1000),0,IND_textiel_gas_kWh/1000)*0.902</f>
        <v>0</v>
      </c>
      <c r="E11" s="33">
        <f>C33*'E Balans VL '!I21/100/3.6*1000000</f>
        <v>2.2873721947046049E-2</v>
      </c>
      <c r="F11" s="33">
        <f>C33*'E Balans VL '!L21/100/3.6*1000000+C33*'E Balans VL '!N21/100/3.6*1000000</f>
        <v>0.38542470250789834</v>
      </c>
      <c r="G11" s="34"/>
      <c r="H11" s="33"/>
      <c r="I11" s="33"/>
      <c r="J11" s="40">
        <f>C33*'E Balans VL '!D21/100/3.6*1000000+C33*'E Balans VL '!E21/100/3.6*1000000</f>
        <v>0</v>
      </c>
      <c r="K11" s="33"/>
      <c r="L11" s="33"/>
      <c r="M11" s="33"/>
      <c r="N11" s="33">
        <f>C33*'E Balans VL '!Y21/100/3.6*1000000</f>
        <v>8.133158091258498E-2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14590.995999999999</v>
      </c>
      <c r="C13" s="33"/>
      <c r="D13" s="37">
        <f>IF( ISERROR(IND_papier_gas_kWh/1000),0,IND_papier_gas_kWh/1000)*0.902</f>
        <v>0</v>
      </c>
      <c r="E13" s="33">
        <f>C35*'E Balans VL '!I23/100/3.6*1000000</f>
        <v>30.21893758451478</v>
      </c>
      <c r="F13" s="33">
        <f>C35*'E Balans VL '!L23/100/3.6*1000000+C35*'E Balans VL '!N23/100/3.6*1000000</f>
        <v>289.37073128921674</v>
      </c>
      <c r="G13" s="34"/>
      <c r="H13" s="33"/>
      <c r="I13" s="33"/>
      <c r="J13" s="40">
        <f>C35*'E Balans VL '!D23/100/3.6*1000000+C35*'E Balans VL '!E23/100/3.6*1000000</f>
        <v>0</v>
      </c>
      <c r="K13" s="33"/>
      <c r="L13" s="33"/>
      <c r="M13" s="33"/>
      <c r="N13" s="33">
        <f>C35*'E Balans VL '!Y23/100/3.6*1000000</f>
        <v>6161.016964381216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161.816</v>
      </c>
      <c r="C15" s="33"/>
      <c r="D15" s="37">
        <f>IF( ISERROR(IND_rest_gas_kWh/1000),0,IND_rest_gas_kWh/1000)*0.902</f>
        <v>16324.079108134005</v>
      </c>
      <c r="E15" s="33">
        <f>C37*'E Balans VL '!I15/100/3.6*1000000</f>
        <v>8.2320832241649313</v>
      </c>
      <c r="F15" s="33">
        <f>C37*'E Balans VL '!L15/100/3.6*1000000+C37*'E Balans VL '!N15/100/3.6*1000000</f>
        <v>36.883954599987952</v>
      </c>
      <c r="G15" s="34"/>
      <c r="H15" s="33"/>
      <c r="I15" s="33"/>
      <c r="J15" s="40">
        <f>C37*'E Balans VL '!D15/100/3.6*1000000+C37*'E Balans VL '!E15/100/3.6*1000000</f>
        <v>0.67887157767282991</v>
      </c>
      <c r="K15" s="33"/>
      <c r="L15" s="33"/>
      <c r="M15" s="33"/>
      <c r="N15" s="33">
        <f>C37*'E Balans VL '!Y15/100/3.6*1000000</f>
        <v>30.402617964070821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17569.532999999999</v>
      </c>
      <c r="C18" s="21">
        <f>C5+C16</f>
        <v>0</v>
      </c>
      <c r="D18" s="21">
        <f>MAX((D5+D16),0)</f>
        <v>17835.292730870329</v>
      </c>
      <c r="E18" s="21">
        <f>MAX((E5+E16),0)</f>
        <v>595.46251796331842</v>
      </c>
      <c r="F18" s="21">
        <f>MAX((F5+F16),0)</f>
        <v>3140.9712078175166</v>
      </c>
      <c r="G18" s="21"/>
      <c r="H18" s="21"/>
      <c r="I18" s="21"/>
      <c r="J18" s="21">
        <f>MAX((J5+J16),0)</f>
        <v>15.746948505663349</v>
      </c>
      <c r="K18" s="21"/>
      <c r="L18" s="21">
        <f>MAX((L5+L16),0)</f>
        <v>0</v>
      </c>
      <c r="M18" s="21"/>
      <c r="N18" s="21">
        <f>MAX((N5+N16),0)</f>
        <v>7170.7451689515992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0.20631796219718349</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3624.9102453161677</v>
      </c>
      <c r="C22" s="23">
        <f ca="1">C18*C20</f>
        <v>0</v>
      </c>
      <c r="D22" s="23">
        <f>D18*D20</f>
        <v>3602.7291316358069</v>
      </c>
      <c r="E22" s="23">
        <f>E18*E20</f>
        <v>135.16999157767327</v>
      </c>
      <c r="F22" s="23">
        <f>F18*F20</f>
        <v>838.63931248727704</v>
      </c>
      <c r="G22" s="23"/>
      <c r="H22" s="23"/>
      <c r="I22" s="23"/>
      <c r="J22" s="23">
        <f>J18*J20</f>
        <v>5.5744197710048251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193.768</v>
      </c>
      <c r="C30" s="39">
        <f>IF(ISERROR(B30*3.6/1000000/'E Balans VL '!Z18*100),0,B30*3.6/1000000/'E Balans VL '!Z18*100)</f>
        <v>2.7121062610063241E-2</v>
      </c>
      <c r="D30" s="237" t="s">
        <v>692</v>
      </c>
    </row>
    <row r="31" spans="1:18">
      <c r="A31" s="6" t="s">
        <v>33</v>
      </c>
      <c r="B31" s="37">
        <f>IF( ISERROR(IND_ander_ele_kWh/1000),0,IND_ander_ele_kWh/1000)</f>
        <v>1984.7360000000001</v>
      </c>
      <c r="C31" s="39">
        <f>IF(ISERROR(B31*3.6/1000000/'E Balans VL '!Z19*100),0,B31*3.6/1000000/'E Balans VL '!Z19*100)</f>
        <v>8.687157275007712E-2</v>
      </c>
      <c r="D31" s="237" t="s">
        <v>692</v>
      </c>
    </row>
    <row r="32" spans="1:18">
      <c r="A32" s="171" t="s">
        <v>41</v>
      </c>
      <c r="B32" s="37">
        <f>IF( ISERROR(IND_voed_ele_kWh/1000),0,IND_voed_ele_kWh/1000)</f>
        <v>629.58699999999999</v>
      </c>
      <c r="C32" s="39">
        <f>IF(ISERROR(B32*3.6/1000000/'E Balans VL '!Z20*100),0,B32*3.6/1000000/'E Balans VL '!Z20*100)</f>
        <v>0.1558648336470051</v>
      </c>
      <c r="D32" s="237" t="s">
        <v>692</v>
      </c>
    </row>
    <row r="33" spans="1:5">
      <c r="A33" s="171" t="s">
        <v>40</v>
      </c>
      <c r="B33" s="37">
        <f>IF( ISERROR(IND_textiel_ele_kWh/1000),0,IND_textiel_ele_kWh/1000)</f>
        <v>8.6300000000000008</v>
      </c>
      <c r="C33" s="39">
        <f>IF(ISERROR(B33*3.6/1000000/'E Balans VL '!Z21*100),0,B33*3.6/1000000/'E Balans VL '!Z21*100)</f>
        <v>9.7244898114944717E-4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14590.995999999999</v>
      </c>
      <c r="C35" s="39">
        <f>IF(ISERROR(B35*3.6/1000000/'E Balans VL '!Z22*100),0,B35*3.6/1000000/'E Balans VL '!Z22*100)</f>
        <v>0.41403293841562339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161.816</v>
      </c>
      <c r="C37" s="39">
        <f>IF(ISERROR(B37*3.6/1000000/'E Balans VL '!Z15*100),0,B37*3.6/1000000/'E Balans VL '!Z15*100)</f>
        <v>1.1998379359284624E-3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2441.346</v>
      </c>
      <c r="C5" s="17">
        <f>'Eigen informatie GS &amp; warmtenet'!B60</f>
        <v>0</v>
      </c>
      <c r="D5" s="30">
        <f>IF(ISERROR(SUM(LB_lb_gas_kWh,LB_rest_gas_kWh,onbekend_gas_kWh)/1000),0,SUM(LB_lb_gas_kWh,LB_rest_gas_kWh,onbekend_gas_kWh)/1000)*0.902</f>
        <v>32253.251564501123</v>
      </c>
      <c r="E5" s="17">
        <f>B17*'E Balans VL '!I25/3.6*1000000/100</f>
        <v>22.612769181697693</v>
      </c>
      <c r="F5" s="17">
        <f>B17*('E Balans VL '!L25/3.6*1000000+'E Balans VL '!N25/3.6*1000000)/100</f>
        <v>6194.1598779357291</v>
      </c>
      <c r="G5" s="18"/>
      <c r="H5" s="17"/>
      <c r="I5" s="17"/>
      <c r="J5" s="17">
        <f>('E Balans VL '!D25+'E Balans VL '!E25)/3.6*1000000*landbouw!B17/100</f>
        <v>374.28558730087855</v>
      </c>
      <c r="K5" s="17"/>
      <c r="L5" s="17">
        <f>L6*(-1)</f>
        <v>0</v>
      </c>
      <c r="M5" s="17"/>
      <c r="N5" s="17">
        <f>N6*(-1)</f>
        <v>124.71428571428569</v>
      </c>
      <c r="O5" s="17"/>
      <c r="P5" s="17"/>
      <c r="R5" s="32"/>
    </row>
    <row r="6" spans="1:18">
      <c r="A6" s="16" t="s">
        <v>494</v>
      </c>
      <c r="B6" s="17" t="s">
        <v>211</v>
      </c>
      <c r="C6" s="17">
        <f>'lokale energieproductie'!O91+'lokale energieproductie'!O60</f>
        <v>12919.5</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2441.346</v>
      </c>
      <c r="C8" s="21">
        <f>C5+C6</f>
        <v>12919.5</v>
      </c>
      <c r="D8" s="21">
        <f>MAX((D5+D6),0)</f>
        <v>6538.9658502154052</v>
      </c>
      <c r="E8" s="21">
        <f>MAX((E5+E6),0)</f>
        <v>22.612769181697693</v>
      </c>
      <c r="F8" s="21">
        <f>MAX((F5+F6),0)</f>
        <v>6194.1598779357291</v>
      </c>
      <c r="G8" s="21"/>
      <c r="H8" s="21"/>
      <c r="I8" s="21"/>
      <c r="J8" s="21">
        <f>MAX((J5+J6),0)</f>
        <v>374.28558730087855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0.20631796219718349</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503.6935317382451</v>
      </c>
      <c r="C12" s="23">
        <f ca="1">C8*C10</f>
        <v>3055.5026297200106</v>
      </c>
      <c r="D12" s="23">
        <f>D8*D10</f>
        <v>1320.8711017435119</v>
      </c>
      <c r="E12" s="23">
        <f>E8*E10</f>
        <v>5.1330986042453768</v>
      </c>
      <c r="F12" s="23">
        <f>F8*F10</f>
        <v>1653.8406874088398</v>
      </c>
      <c r="G12" s="23"/>
      <c r="H12" s="23"/>
      <c r="I12" s="23"/>
      <c r="J12" s="23">
        <f>J8*J10</f>
        <v>132.49709790451101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0.34710763571718439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693.6278345709145</v>
      </c>
      <c r="C26" s="247">
        <f>B26*'GWP N2O_CH4'!B5</f>
        <v>14566.184525989205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217.72898498156275</v>
      </c>
      <c r="C27" s="247">
        <f>B27*'GWP N2O_CH4'!B5</f>
        <v>4572.3086846128181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9.794795182969338</v>
      </c>
      <c r="C28" s="247">
        <f>B28*'GWP N2O_CH4'!B4</f>
        <v>3036.3865067204947</v>
      </c>
      <c r="D28" s="50"/>
    </row>
    <row r="29" spans="1:4">
      <c r="A29" s="41" t="s">
        <v>277</v>
      </c>
      <c r="B29" s="247">
        <f>B34*'ha_N2O bodem landbouw'!B4</f>
        <v>22.328542048818971</v>
      </c>
      <c r="C29" s="247">
        <f>B29*'GWP N2O_CH4'!B4</f>
        <v>6921.8480351338812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5.0078986126947927E-3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1.2760443570666429E-4</v>
      </c>
      <c r="C5" s="464" t="s">
        <v>211</v>
      </c>
      <c r="D5" s="449">
        <f>SUM(D6:D11)</f>
        <v>3.2721279947981743E-4</v>
      </c>
      <c r="E5" s="449">
        <f>SUM(E6:E11)</f>
        <v>2.4167565392193367E-3</v>
      </c>
      <c r="F5" s="462" t="s">
        <v>211</v>
      </c>
      <c r="G5" s="449">
        <f>SUM(G6:G11)</f>
        <v>0.73146893906971711</v>
      </c>
      <c r="H5" s="449">
        <f>SUM(H6:H11)</f>
        <v>0.12730209808490936</v>
      </c>
      <c r="I5" s="464" t="s">
        <v>211</v>
      </c>
      <c r="J5" s="464" t="s">
        <v>211</v>
      </c>
      <c r="K5" s="464" t="s">
        <v>211</v>
      </c>
      <c r="L5" s="464" t="s">
        <v>211</v>
      </c>
      <c r="M5" s="449">
        <f>SUM(M6:M11)</f>
        <v>4.6230962133458085E-2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3.4378754997906426E-5</v>
      </c>
      <c r="C6" s="450"/>
      <c r="D6" s="963">
        <f>vkm_2011_GW_PW*SUMIFS(TableVerdeelsleutelVkm[CNG],TableVerdeelsleutelVkm[Voertuigtype],"Lichte voertuigen")*SUMIFS(TableECFTransport[EnergieConsumptieFactor (PJ per km)],TableECFTransport[Index],CONCATENATE($A6,"_CNG_CNG"))</f>
        <v>7.9521845254292679E-5</v>
      </c>
      <c r="E6" s="963">
        <f>vkm_2011_GW_PW*SUMIFS(TableVerdeelsleutelVkm[LPG],TableVerdeelsleutelVkm[Voertuigtype],"Lichte voertuigen")*SUMIFS(TableECFTransport[EnergieConsumptieFactor (PJ per km)],TableECFTransport[Index],CONCATENATE($A6,"_LPG_LPG"))</f>
        <v>5.1779823439873131E-4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0.10756875238523855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3.0321408322714207E-2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7.1557845275532815E-3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3.2811655533985663E-2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1.1220990305200798E-5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1.8983402575448811E-3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1.2960076168065254E-5</v>
      </c>
      <c r="C8" s="450"/>
      <c r="D8" s="452">
        <f>vkm_2011_NGW_PW*SUMIFS(TableVerdeelsleutelVkm[CNG],TableVerdeelsleutelVkm[Voertuigtype],"Lichte voertuigen")*SUMIFS(TableECFTransport[EnergieConsumptieFactor (PJ per km)],TableECFTransport[Index],CONCATENATE($A8,"_CNG_CNG"))</f>
        <v>5.3022467952685927E-5</v>
      </c>
      <c r="E8" s="452">
        <f>vkm_2011_NGW_PW*SUMIFS(TableVerdeelsleutelVkm[LPG],TableVerdeelsleutelVkm[Voertuigtype],"Lichte voertuigen")*SUMIFS(TableECFTransport[EnergieConsumptieFactor (PJ per km)],TableECFTransport[Index],CONCATENATE($A8,"_LPG_LPG"))</f>
        <v>3.1863010032895351E-4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6.1877497395706083E-2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1.954868889028195E-2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4.1811256105032217E-3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1.0444072675445962E-2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3.379580258064477E-6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6.0424289001059707E-4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8.0265604540692616E-5</v>
      </c>
      <c r="C10" s="450"/>
      <c r="D10" s="452">
        <f>vkm_2011_SW_PW*SUMIFS(TableVerdeelsleutelVkm[CNG],TableVerdeelsleutelVkm[Voertuigtype],"Lichte voertuigen")*SUMIFS(TableECFTransport[EnergieConsumptieFactor (PJ per km)],TableECFTransport[Index],CONCATENATE($A10,"_CNG_CNG"))</f>
        <v>1.9466848627283881E-4</v>
      </c>
      <c r="E10" s="452">
        <f>vkm_2011_SW_PW*SUMIFS(TableVerdeelsleutelVkm[LPG],TableVerdeelsleutelVkm[Voertuigtype],"Lichte voertuigen")*SUMIFS(TableECFTransport[EnergieConsumptieFactor (PJ per km)],TableECFTransport[Index],CONCATENATE($A10,"_LPG_LPG"))</f>
        <v>1.5803282044916519E-3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0.29556674938966054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7.7335137126300843E-2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1.9477888803449365E-2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0.22320021168968032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8.2263175049073552E-5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1.2913580044396737E-2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35.445676585184522</v>
      </c>
      <c r="C14" s="21"/>
      <c r="D14" s="21">
        <f t="shared" ref="D14:M14" si="0">((D5)*10^9/3600)+D12</f>
        <v>90.89244429994929</v>
      </c>
      <c r="E14" s="21">
        <f t="shared" si="0"/>
        <v>671.32126089426015</v>
      </c>
      <c r="F14" s="21"/>
      <c r="G14" s="21">
        <f t="shared" si="0"/>
        <v>203185.81640825473</v>
      </c>
      <c r="H14" s="21">
        <f t="shared" si="0"/>
        <v>35361.693912474824</v>
      </c>
      <c r="I14" s="21"/>
      <c r="J14" s="21"/>
      <c r="K14" s="21"/>
      <c r="L14" s="21"/>
      <c r="M14" s="21">
        <f t="shared" si="0"/>
        <v>12841.933925960579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0.20631796219718349</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7.3130797617556924</v>
      </c>
      <c r="C18" s="23"/>
      <c r="D18" s="23">
        <f t="shared" ref="D18:M18" si="1">D14*D16</f>
        <v>18.360273748589758</v>
      </c>
      <c r="E18" s="23">
        <f t="shared" si="1"/>
        <v>152.38992622299705</v>
      </c>
      <c r="F18" s="23"/>
      <c r="G18" s="23">
        <f t="shared" si="1"/>
        <v>54250.612981004015</v>
      </c>
      <c r="H18" s="23">
        <f t="shared" si="1"/>
        <v>8805.0617842062311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4.8046720171335258E-3</v>
      </c>
      <c r="H50" s="321">
        <f t="shared" si="2"/>
        <v>0</v>
      </c>
      <c r="I50" s="321">
        <f t="shared" si="2"/>
        <v>0</v>
      </c>
      <c r="J50" s="321">
        <f t="shared" si="2"/>
        <v>0</v>
      </c>
      <c r="K50" s="321">
        <f t="shared" si="2"/>
        <v>0</v>
      </c>
      <c r="L50" s="321">
        <f t="shared" si="2"/>
        <v>0</v>
      </c>
      <c r="M50" s="321">
        <f t="shared" si="2"/>
        <v>2.7399643876157409E-4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4.8046720171335258E-3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2.7399643876157409E-4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1334.6311158704239</v>
      </c>
      <c r="H54" s="21">
        <f t="shared" si="3"/>
        <v>0</v>
      </c>
      <c r="I54" s="21">
        <f t="shared" si="3"/>
        <v>0</v>
      </c>
      <c r="J54" s="21">
        <f t="shared" si="3"/>
        <v>0</v>
      </c>
      <c r="K54" s="21">
        <f t="shared" si="3"/>
        <v>0</v>
      </c>
      <c r="L54" s="21">
        <f t="shared" si="3"/>
        <v>0</v>
      </c>
      <c r="M54" s="21">
        <f t="shared" si="3"/>
        <v>76.110121878215026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0.20631796219718349</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356.3465079374032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4806.8971301286074</v>
      </c>
      <c r="C6" s="1216"/>
      <c r="D6" s="1201"/>
      <c r="E6" s="1201"/>
      <c r="F6" s="1219"/>
      <c r="G6" s="1222"/>
      <c r="H6" s="1213"/>
      <c r="I6" s="1201"/>
      <c r="J6" s="1201"/>
      <c r="K6" s="1201"/>
      <c r="L6" s="1205"/>
      <c r="M6" s="576"/>
      <c r="N6" s="1179"/>
      <c r="O6" s="1180"/>
      <c r="Q6" s="574"/>
      <c r="R6" s="1167"/>
      <c r="S6" s="1167"/>
    </row>
    <row r="7" spans="1:19" s="564" customFormat="1">
      <c r="A7" s="577" t="s">
        <v>252</v>
      </c>
      <c r="B7" s="578">
        <f>N57</f>
        <v>9068.4</v>
      </c>
      <c r="C7" s="579">
        <f>B100</f>
        <v>10617.352941176472</v>
      </c>
      <c r="D7" s="580"/>
      <c r="E7" s="580">
        <f>E100</f>
        <v>0</v>
      </c>
      <c r="F7" s="581"/>
      <c r="G7" s="582"/>
      <c r="H7" s="580">
        <f>I100</f>
        <v>0</v>
      </c>
      <c r="I7" s="580">
        <f>G100+F100</f>
        <v>0</v>
      </c>
      <c r="J7" s="580">
        <f>H100+D100+C100</f>
        <v>51.35294117647058</v>
      </c>
      <c r="K7" s="580"/>
      <c r="L7" s="583"/>
      <c r="M7" s="584">
        <f>C7*$C$11+D7*$D$11+E7*$E$11+F7*$F$11+G7*$G$11+H7*$H$11+I7*$I$11+J7*$J$11</f>
        <v>2144.7052941176476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13875.297130128607</v>
      </c>
      <c r="C9" s="595">
        <f t="shared" ref="C9:L9" si="0">SUM(C7:C8)</f>
        <v>10617.352941176472</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2144.7052941176476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12954.857142857143</v>
      </c>
      <c r="C16" s="611">
        <f>B101</f>
        <v>15167.647058823532</v>
      </c>
      <c r="D16" s="612"/>
      <c r="E16" s="612">
        <f>E101</f>
        <v>0</v>
      </c>
      <c r="F16" s="613"/>
      <c r="G16" s="614"/>
      <c r="H16" s="611">
        <f>I101</f>
        <v>0</v>
      </c>
      <c r="I16" s="612">
        <f>G101+F101</f>
        <v>0</v>
      </c>
      <c r="J16" s="612">
        <f>H101+D101+C101</f>
        <v>73.361344537815114</v>
      </c>
      <c r="K16" s="612"/>
      <c r="L16" s="615"/>
      <c r="M16" s="616">
        <f>C16*$C$21+E16*$E$21+H16*$H$21+I16*$I$21+J16*$J$21+D16*$D$21+F16*$F$21+G16*$G$21+K16*$K$21+L16*$L$21</f>
        <v>3063.8647058823535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12954.857142857143</v>
      </c>
      <c r="C19" s="594">
        <f>SUM(C16:C18)</f>
        <v>15167.647058823532</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3063.8647058823535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31012</v>
      </c>
      <c r="C27" s="852">
        <v>8490</v>
      </c>
      <c r="D27" s="673" t="s">
        <v>834</v>
      </c>
      <c r="E27" s="672" t="s">
        <v>835</v>
      </c>
      <c r="F27" s="672" t="s">
        <v>836</v>
      </c>
      <c r="G27" s="672" t="s">
        <v>837</v>
      </c>
      <c r="H27" s="672" t="s">
        <v>838</v>
      </c>
      <c r="I27" s="672" t="s">
        <v>835</v>
      </c>
      <c r="J27" s="851">
        <v>39995</v>
      </c>
      <c r="K27" s="851">
        <v>39995</v>
      </c>
      <c r="L27" s="672" t="s">
        <v>839</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63.75">
      <c r="A28" s="625"/>
      <c r="B28" s="852">
        <v>31012</v>
      </c>
      <c r="C28" s="852">
        <v>8490</v>
      </c>
      <c r="D28" s="673" t="s">
        <v>840</v>
      </c>
      <c r="E28" s="672" t="s">
        <v>841</v>
      </c>
      <c r="F28" s="672" t="s">
        <v>842</v>
      </c>
      <c r="G28" s="672" t="s">
        <v>837</v>
      </c>
      <c r="H28" s="672" t="s">
        <v>838</v>
      </c>
      <c r="I28" s="672" t="s">
        <v>841</v>
      </c>
      <c r="J28" s="851">
        <v>40477</v>
      </c>
      <c r="K28" s="851">
        <v>40513</v>
      </c>
      <c r="L28" s="672" t="s">
        <v>839</v>
      </c>
      <c r="M28" s="672">
        <v>5.5</v>
      </c>
      <c r="N28" s="672">
        <v>24.75</v>
      </c>
      <c r="O28" s="672">
        <v>35.357142857142861</v>
      </c>
      <c r="P28" s="672">
        <v>70.714285714285722</v>
      </c>
      <c r="Q28" s="672">
        <v>0</v>
      </c>
      <c r="R28" s="672">
        <v>0</v>
      </c>
      <c r="S28" s="672">
        <v>0</v>
      </c>
      <c r="T28" s="672">
        <v>0</v>
      </c>
      <c r="U28" s="672">
        <v>0</v>
      </c>
      <c r="V28" s="672">
        <v>0</v>
      </c>
      <c r="W28" s="672">
        <v>0</v>
      </c>
      <c r="X28" s="672">
        <v>1600</v>
      </c>
      <c r="Y28" s="672" t="s">
        <v>50</v>
      </c>
      <c r="Z28" s="674" t="s">
        <v>156</v>
      </c>
    </row>
    <row r="29" spans="1:26" s="626" customFormat="1" ht="25.5">
      <c r="A29" s="625"/>
      <c r="B29" s="852">
        <v>31012</v>
      </c>
      <c r="C29" s="852">
        <v>8490</v>
      </c>
      <c r="D29" s="673" t="s">
        <v>843</v>
      </c>
      <c r="E29" s="672" t="s">
        <v>844</v>
      </c>
      <c r="F29" s="672" t="s">
        <v>845</v>
      </c>
      <c r="G29" s="672" t="s">
        <v>837</v>
      </c>
      <c r="H29" s="672" t="s">
        <v>838</v>
      </c>
      <c r="I29" s="672" t="s">
        <v>846</v>
      </c>
      <c r="J29" s="851">
        <v>41257</v>
      </c>
      <c r="K29" s="851">
        <v>41275</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2015.2</v>
      </c>
      <c r="N57" s="630">
        <f>SUM(N27:N56)</f>
        <v>9068.4</v>
      </c>
      <c r="O57" s="630">
        <f t="shared" ref="O57:W57" si="2">SUM(O27:O56)</f>
        <v>12954.857142857143</v>
      </c>
      <c r="P57" s="630">
        <f t="shared" si="2"/>
        <v>25785.000000000004</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2009.7</v>
      </c>
      <c r="N60" s="635">
        <f t="shared" ref="N60:W60" si="4">SUMIF($Z$27:$Z$56,"landbouw",N27:N56)</f>
        <v>9043.65</v>
      </c>
      <c r="O60" s="635">
        <f t="shared" si="4"/>
        <v>12919.5</v>
      </c>
      <c r="P60" s="635">
        <f t="shared" si="4"/>
        <v>25714.285714285717</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10617.352941176472</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15167.647058823532</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16455.392116279068</v>
      </c>
      <c r="D10" s="719">
        <f ca="1">tertiair!C16</f>
        <v>35.357142857142861</v>
      </c>
      <c r="E10" s="719">
        <f ca="1">tertiair!D16</f>
        <v>13936.813041462789</v>
      </c>
      <c r="F10" s="719">
        <f>tertiair!E16</f>
        <v>172.58504166720584</v>
      </c>
      <c r="G10" s="719">
        <f ca="1">tertiair!F16</f>
        <v>2237.2646221875611</v>
      </c>
      <c r="H10" s="719">
        <f>tertiair!G16</f>
        <v>0</v>
      </c>
      <c r="I10" s="719">
        <f>tertiair!H16</f>
        <v>0</v>
      </c>
      <c r="J10" s="719">
        <f>tertiair!I16</f>
        <v>0</v>
      </c>
      <c r="K10" s="719">
        <f>tertiair!J16</f>
        <v>0</v>
      </c>
      <c r="L10" s="719">
        <f>tertiair!K16</f>
        <v>0</v>
      </c>
      <c r="M10" s="719">
        <f ca="1">tertiair!L16</f>
        <v>0</v>
      </c>
      <c r="N10" s="719">
        <f>tertiair!M16</f>
        <v>0</v>
      </c>
      <c r="O10" s="719">
        <f ca="1">tertiair!N16</f>
        <v>1159.6601917520429</v>
      </c>
      <c r="P10" s="719">
        <f>tertiair!O16</f>
        <v>0</v>
      </c>
      <c r="Q10" s="720">
        <f>tertiair!P16</f>
        <v>57.2</v>
      </c>
      <c r="R10" s="722">
        <f ca="1">SUM(C10:Q10)</f>
        <v>34054.272156205807</v>
      </c>
      <c r="S10" s="67"/>
    </row>
    <row r="11" spans="1:19" s="475" customFormat="1">
      <c r="A11" s="871" t="s">
        <v>225</v>
      </c>
      <c r="B11" s="876"/>
      <c r="C11" s="719">
        <f>huishoudens!B8</f>
        <v>26278.081489902303</v>
      </c>
      <c r="D11" s="719">
        <f>huishoudens!C8</f>
        <v>0</v>
      </c>
      <c r="E11" s="719">
        <f>huishoudens!D8</f>
        <v>50646.878688364137</v>
      </c>
      <c r="F11" s="719">
        <f>huishoudens!E8</f>
        <v>2611.4707347110343</v>
      </c>
      <c r="G11" s="719">
        <f>huishoudens!F8</f>
        <v>18213.73795455592</v>
      </c>
      <c r="H11" s="719">
        <f>huishoudens!G8</f>
        <v>0</v>
      </c>
      <c r="I11" s="719">
        <f>huishoudens!H8</f>
        <v>0</v>
      </c>
      <c r="J11" s="719">
        <f>huishoudens!I8</f>
        <v>0</v>
      </c>
      <c r="K11" s="719">
        <f>huishoudens!J8</f>
        <v>0</v>
      </c>
      <c r="L11" s="719">
        <f>huishoudens!K8</f>
        <v>0</v>
      </c>
      <c r="M11" s="719">
        <f>huishoudens!L8</f>
        <v>0</v>
      </c>
      <c r="N11" s="719">
        <f>huishoudens!M8</f>
        <v>0</v>
      </c>
      <c r="O11" s="719">
        <f>huishoudens!N8</f>
        <v>12565.576213899236</v>
      </c>
      <c r="P11" s="719">
        <f>huishoudens!O8</f>
        <v>221.99333333333334</v>
      </c>
      <c r="Q11" s="720">
        <f>huishoudens!P8</f>
        <v>514.79999999999995</v>
      </c>
      <c r="R11" s="722">
        <f>SUM(C11:Q11)</f>
        <v>111052.53841476596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17569.532999999999</v>
      </c>
      <c r="D13" s="719">
        <f>industrie!C18</f>
        <v>0</v>
      </c>
      <c r="E13" s="719">
        <f>industrie!D18</f>
        <v>17835.292730870329</v>
      </c>
      <c r="F13" s="719">
        <f>industrie!E18</f>
        <v>595.46251796331842</v>
      </c>
      <c r="G13" s="719">
        <f>industrie!F18</f>
        <v>3140.9712078175166</v>
      </c>
      <c r="H13" s="719">
        <f>industrie!G18</f>
        <v>0</v>
      </c>
      <c r="I13" s="719">
        <f>industrie!H18</f>
        <v>0</v>
      </c>
      <c r="J13" s="719">
        <f>industrie!I18</f>
        <v>0</v>
      </c>
      <c r="K13" s="719">
        <f>industrie!J18</f>
        <v>15.746948505663349</v>
      </c>
      <c r="L13" s="719">
        <f>industrie!K18</f>
        <v>0</v>
      </c>
      <c r="M13" s="719">
        <f>industrie!L18</f>
        <v>0</v>
      </c>
      <c r="N13" s="719">
        <f>industrie!M18</f>
        <v>0</v>
      </c>
      <c r="O13" s="719">
        <f>industrie!N18</f>
        <v>7170.7451689515992</v>
      </c>
      <c r="P13" s="719">
        <f>industrie!O18</f>
        <v>0</v>
      </c>
      <c r="Q13" s="720">
        <f>industrie!P18</f>
        <v>0</v>
      </c>
      <c r="R13" s="722">
        <f>SUM(C13:Q13)</f>
        <v>46327.751574108428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60303.00660618137</v>
      </c>
      <c r="D15" s="724">
        <f t="shared" ref="D15:Q15" ca="1" si="0">SUM(D9:D14)</f>
        <v>35.357142857142861</v>
      </c>
      <c r="E15" s="724">
        <f t="shared" ca="1" si="0"/>
        <v>82418.984460697247</v>
      </c>
      <c r="F15" s="724">
        <f t="shared" si="0"/>
        <v>3379.5182943415589</v>
      </c>
      <c r="G15" s="724">
        <f t="shared" ca="1" si="0"/>
        <v>23591.973784561</v>
      </c>
      <c r="H15" s="724">
        <f t="shared" si="0"/>
        <v>0</v>
      </c>
      <c r="I15" s="724">
        <f t="shared" si="0"/>
        <v>0</v>
      </c>
      <c r="J15" s="724">
        <f t="shared" si="0"/>
        <v>0</v>
      </c>
      <c r="K15" s="724">
        <f t="shared" si="0"/>
        <v>15.746948505663349</v>
      </c>
      <c r="L15" s="724">
        <f t="shared" si="0"/>
        <v>0</v>
      </c>
      <c r="M15" s="724">
        <f t="shared" ca="1" si="0"/>
        <v>0</v>
      </c>
      <c r="N15" s="724">
        <f t="shared" si="0"/>
        <v>0</v>
      </c>
      <c r="O15" s="724">
        <f t="shared" ca="1" si="0"/>
        <v>20895.981574602876</v>
      </c>
      <c r="P15" s="724">
        <f t="shared" si="0"/>
        <v>221.99333333333334</v>
      </c>
      <c r="Q15" s="725">
        <f t="shared" si="0"/>
        <v>572</v>
      </c>
      <c r="R15" s="726">
        <f ca="1">SUM(R9:R14)</f>
        <v>191434.56214508021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1334.6311158704239</v>
      </c>
      <c r="I18" s="719">
        <f>transport!H54</f>
        <v>0</v>
      </c>
      <c r="J18" s="719">
        <f>transport!I54</f>
        <v>0</v>
      </c>
      <c r="K18" s="719">
        <f>transport!J54</f>
        <v>0</v>
      </c>
      <c r="L18" s="719">
        <f>transport!K54</f>
        <v>0</v>
      </c>
      <c r="M18" s="719">
        <f>transport!L54</f>
        <v>0</v>
      </c>
      <c r="N18" s="719">
        <f>transport!M54</f>
        <v>76.110121878215026</v>
      </c>
      <c r="O18" s="719">
        <f>transport!N54</f>
        <v>0</v>
      </c>
      <c r="P18" s="719">
        <f>transport!O54</f>
        <v>0</v>
      </c>
      <c r="Q18" s="720">
        <f>transport!P54</f>
        <v>0</v>
      </c>
      <c r="R18" s="722">
        <f>SUM(C18:Q18)</f>
        <v>1410.7412377486389</v>
      </c>
      <c r="S18" s="67"/>
    </row>
    <row r="19" spans="1:19" s="475" customFormat="1" ht="15" thickBot="1">
      <c r="A19" s="871" t="s">
        <v>307</v>
      </c>
      <c r="B19" s="876"/>
      <c r="C19" s="728">
        <f>transport!B14</f>
        <v>35.445676585184522</v>
      </c>
      <c r="D19" s="728">
        <f>transport!C14</f>
        <v>0</v>
      </c>
      <c r="E19" s="728">
        <f>transport!D14</f>
        <v>90.89244429994929</v>
      </c>
      <c r="F19" s="728">
        <f>transport!E14</f>
        <v>671.32126089426015</v>
      </c>
      <c r="G19" s="728">
        <f>transport!F14</f>
        <v>0</v>
      </c>
      <c r="H19" s="728">
        <f>transport!G14</f>
        <v>203185.81640825473</v>
      </c>
      <c r="I19" s="728">
        <f>transport!H14</f>
        <v>35361.693912474824</v>
      </c>
      <c r="J19" s="728">
        <f>transport!I14</f>
        <v>0</v>
      </c>
      <c r="K19" s="728">
        <f>transport!J14</f>
        <v>0</v>
      </c>
      <c r="L19" s="728">
        <f>transport!K14</f>
        <v>0</v>
      </c>
      <c r="M19" s="728">
        <f>transport!L14</f>
        <v>0</v>
      </c>
      <c r="N19" s="728">
        <f>transport!M14</f>
        <v>12841.933925960579</v>
      </c>
      <c r="O19" s="728">
        <f>transport!N14</f>
        <v>0</v>
      </c>
      <c r="P19" s="728">
        <f>transport!O14</f>
        <v>0</v>
      </c>
      <c r="Q19" s="729">
        <f>transport!P14</f>
        <v>0</v>
      </c>
      <c r="R19" s="730">
        <f>SUM(C19:Q19)</f>
        <v>252187.10362846954</v>
      </c>
      <c r="S19" s="67"/>
    </row>
    <row r="20" spans="1:19" s="475" customFormat="1" ht="15.75" thickBot="1">
      <c r="A20" s="731" t="s">
        <v>230</v>
      </c>
      <c r="B20" s="879"/>
      <c r="C20" s="874">
        <f>SUM(C17:C19)</f>
        <v>35.445676585184522</v>
      </c>
      <c r="D20" s="732">
        <f t="shared" ref="D20:R20" si="1">SUM(D17:D19)</f>
        <v>0</v>
      </c>
      <c r="E20" s="732">
        <f t="shared" si="1"/>
        <v>90.89244429994929</v>
      </c>
      <c r="F20" s="732">
        <f t="shared" si="1"/>
        <v>671.32126089426015</v>
      </c>
      <c r="G20" s="732">
        <f t="shared" si="1"/>
        <v>0</v>
      </c>
      <c r="H20" s="732">
        <f t="shared" si="1"/>
        <v>204520.44752412516</v>
      </c>
      <c r="I20" s="732">
        <f t="shared" si="1"/>
        <v>35361.693912474824</v>
      </c>
      <c r="J20" s="732">
        <f t="shared" si="1"/>
        <v>0</v>
      </c>
      <c r="K20" s="732">
        <f t="shared" si="1"/>
        <v>0</v>
      </c>
      <c r="L20" s="732">
        <f t="shared" si="1"/>
        <v>0</v>
      </c>
      <c r="M20" s="732">
        <f t="shared" si="1"/>
        <v>0</v>
      </c>
      <c r="N20" s="732">
        <f t="shared" si="1"/>
        <v>12918.044047838794</v>
      </c>
      <c r="O20" s="732">
        <f t="shared" si="1"/>
        <v>0</v>
      </c>
      <c r="P20" s="732">
        <f t="shared" si="1"/>
        <v>0</v>
      </c>
      <c r="Q20" s="733">
        <f t="shared" si="1"/>
        <v>0</v>
      </c>
      <c r="R20" s="734">
        <f t="shared" si="1"/>
        <v>253597.84486621819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2441.346</v>
      </c>
      <c r="D22" s="728">
        <f>+landbouw!C8</f>
        <v>12919.5</v>
      </c>
      <c r="E22" s="728">
        <f>+landbouw!D8</f>
        <v>6538.9658502154052</v>
      </c>
      <c r="F22" s="728">
        <f>+landbouw!E8</f>
        <v>22.612769181697693</v>
      </c>
      <c r="G22" s="728">
        <f>+landbouw!F8</f>
        <v>6194.1598779357291</v>
      </c>
      <c r="H22" s="728">
        <f>+landbouw!G8</f>
        <v>0</v>
      </c>
      <c r="I22" s="728">
        <f>+landbouw!H8</f>
        <v>0</v>
      </c>
      <c r="J22" s="728">
        <f>+landbouw!I8</f>
        <v>0</v>
      </c>
      <c r="K22" s="728">
        <f>+landbouw!J8</f>
        <v>374.28558730087855</v>
      </c>
      <c r="L22" s="728">
        <f>+landbouw!K8</f>
        <v>0</v>
      </c>
      <c r="M22" s="728">
        <f>+landbouw!L8</f>
        <v>0</v>
      </c>
      <c r="N22" s="728">
        <f>+landbouw!M8</f>
        <v>0</v>
      </c>
      <c r="O22" s="728">
        <f>+landbouw!N8</f>
        <v>0</v>
      </c>
      <c r="P22" s="728">
        <f>+landbouw!O8</f>
        <v>0</v>
      </c>
      <c r="Q22" s="729">
        <f>+landbouw!P8</f>
        <v>0</v>
      </c>
      <c r="R22" s="730">
        <f>SUM(C22:Q22)</f>
        <v>28490.870084633709</v>
      </c>
      <c r="S22" s="67"/>
    </row>
    <row r="23" spans="1:19" s="475" customFormat="1" ht="17.25" thickTop="1" thickBot="1">
      <c r="A23" s="735" t="s">
        <v>116</v>
      </c>
      <c r="B23" s="865"/>
      <c r="C23" s="736">
        <f ca="1">C20+C15+C22</f>
        <v>62779.798282766555</v>
      </c>
      <c r="D23" s="736">
        <f t="shared" ref="D23:Q23" ca="1" si="2">D20+D15+D22</f>
        <v>12954.857142857143</v>
      </c>
      <c r="E23" s="736">
        <f t="shared" ca="1" si="2"/>
        <v>89048.842755212609</v>
      </c>
      <c r="F23" s="736">
        <f t="shared" si="2"/>
        <v>4073.4523244175166</v>
      </c>
      <c r="G23" s="736">
        <f t="shared" ca="1" si="2"/>
        <v>29786.13366249673</v>
      </c>
      <c r="H23" s="736">
        <f t="shared" si="2"/>
        <v>204520.44752412516</v>
      </c>
      <c r="I23" s="736">
        <f t="shared" si="2"/>
        <v>35361.693912474824</v>
      </c>
      <c r="J23" s="736">
        <f t="shared" si="2"/>
        <v>0</v>
      </c>
      <c r="K23" s="736">
        <f t="shared" si="2"/>
        <v>390.03253580654189</v>
      </c>
      <c r="L23" s="736">
        <f t="shared" si="2"/>
        <v>0</v>
      </c>
      <c r="M23" s="736">
        <f t="shared" ca="1" si="2"/>
        <v>0</v>
      </c>
      <c r="N23" s="736">
        <f t="shared" si="2"/>
        <v>12918.044047838794</v>
      </c>
      <c r="O23" s="736">
        <f t="shared" ca="1" si="2"/>
        <v>20895.981574602876</v>
      </c>
      <c r="P23" s="736">
        <f t="shared" si="2"/>
        <v>221.99333333333334</v>
      </c>
      <c r="Q23" s="737">
        <f t="shared" si="2"/>
        <v>572</v>
      </c>
      <c r="R23" s="738">
        <f ca="1">R20+R15+R22</f>
        <v>473523.27709593211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3395.0429685862964</v>
      </c>
      <c r="D36" s="719">
        <f ca="1">tertiair!C20</f>
        <v>8.3620761623426692</v>
      </c>
      <c r="E36" s="719">
        <f ca="1">tertiair!D20</f>
        <v>2815.2362343754835</v>
      </c>
      <c r="F36" s="719">
        <f>tertiair!E20</f>
        <v>39.176804458455727</v>
      </c>
      <c r="G36" s="719">
        <f ca="1">tertiair!F20</f>
        <v>597.34965412407882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6855.1677377066571</v>
      </c>
    </row>
    <row r="37" spans="1:18">
      <c r="A37" s="886" t="s">
        <v>225</v>
      </c>
      <c r="B37" s="893"/>
      <c r="C37" s="719">
        <f ca="1">huishoudens!B12</f>
        <v>5421.6402234481702</v>
      </c>
      <c r="D37" s="719">
        <f ca="1">huishoudens!C12</f>
        <v>0</v>
      </c>
      <c r="E37" s="719">
        <f>huishoudens!D12</f>
        <v>10230.669495049557</v>
      </c>
      <c r="F37" s="719">
        <f>huishoudens!E12</f>
        <v>592.80385677940478</v>
      </c>
      <c r="G37" s="719">
        <f>huishoudens!F12</f>
        <v>4863.0680338664306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21108.181609143561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3624.9102453161677</v>
      </c>
      <c r="D39" s="719">
        <f ca="1">industrie!C22</f>
        <v>0</v>
      </c>
      <c r="E39" s="719">
        <f>industrie!D22</f>
        <v>3602.7291316358069</v>
      </c>
      <c r="F39" s="719">
        <f>industrie!E22</f>
        <v>135.16999157767327</v>
      </c>
      <c r="G39" s="719">
        <f>industrie!F22</f>
        <v>838.63931248727704</v>
      </c>
      <c r="H39" s="719">
        <f>industrie!G22</f>
        <v>0</v>
      </c>
      <c r="I39" s="719">
        <f>industrie!H22</f>
        <v>0</v>
      </c>
      <c r="J39" s="719">
        <f>industrie!I22</f>
        <v>0</v>
      </c>
      <c r="K39" s="719">
        <f>industrie!J22</f>
        <v>5.5744197710048251</v>
      </c>
      <c r="L39" s="719">
        <f>industrie!K22</f>
        <v>0</v>
      </c>
      <c r="M39" s="719">
        <f>industrie!L22</f>
        <v>0</v>
      </c>
      <c r="N39" s="719">
        <f>industrie!M22</f>
        <v>0</v>
      </c>
      <c r="O39" s="719">
        <f>industrie!N22</f>
        <v>0</v>
      </c>
      <c r="P39" s="719">
        <f>industrie!O22</f>
        <v>0</v>
      </c>
      <c r="Q39" s="829">
        <f>industrie!P22</f>
        <v>0</v>
      </c>
      <c r="R39" s="919">
        <f ca="1">SUM(C39:Q39)</f>
        <v>8207.0231007879302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12441.593437350635</v>
      </c>
      <c r="D41" s="764">
        <f t="shared" ref="D41:R41" ca="1" si="4">SUM(D35:D40)</f>
        <v>8.3620761623426692</v>
      </c>
      <c r="E41" s="764">
        <f t="shared" ca="1" si="4"/>
        <v>16648.634861060847</v>
      </c>
      <c r="F41" s="764">
        <f t="shared" si="4"/>
        <v>767.15065281553382</v>
      </c>
      <c r="G41" s="764">
        <f t="shared" ca="1" si="4"/>
        <v>6299.0570004777874</v>
      </c>
      <c r="H41" s="764">
        <f t="shared" si="4"/>
        <v>0</v>
      </c>
      <c r="I41" s="764">
        <f t="shared" si="4"/>
        <v>0</v>
      </c>
      <c r="J41" s="764">
        <f t="shared" si="4"/>
        <v>0</v>
      </c>
      <c r="K41" s="764">
        <f t="shared" si="4"/>
        <v>5.5744197710048251</v>
      </c>
      <c r="L41" s="764">
        <f t="shared" si="4"/>
        <v>0</v>
      </c>
      <c r="M41" s="764">
        <f t="shared" ca="1" si="4"/>
        <v>0</v>
      </c>
      <c r="N41" s="764">
        <f t="shared" si="4"/>
        <v>0</v>
      </c>
      <c r="O41" s="764">
        <f t="shared" ca="1" si="4"/>
        <v>0</v>
      </c>
      <c r="P41" s="764">
        <f t="shared" si="4"/>
        <v>0</v>
      </c>
      <c r="Q41" s="765">
        <f t="shared" si="4"/>
        <v>0</v>
      </c>
      <c r="R41" s="766">
        <f t="shared" ca="1" si="4"/>
        <v>36170.372447638147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356.3465079374032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356.3465079374032</v>
      </c>
    </row>
    <row r="45" spans="1:18" ht="15" thickBot="1">
      <c r="A45" s="889" t="s">
        <v>307</v>
      </c>
      <c r="B45" s="899"/>
      <c r="C45" s="728">
        <f ca="1">transport!B18</f>
        <v>7.3130797617556924</v>
      </c>
      <c r="D45" s="728">
        <f>transport!C18</f>
        <v>0</v>
      </c>
      <c r="E45" s="728">
        <f>transport!D18</f>
        <v>18.360273748589758</v>
      </c>
      <c r="F45" s="728">
        <f>transport!E18</f>
        <v>152.38992622299705</v>
      </c>
      <c r="G45" s="728">
        <f>transport!F18</f>
        <v>0</v>
      </c>
      <c r="H45" s="728">
        <f>transport!G18</f>
        <v>54250.612981004015</v>
      </c>
      <c r="I45" s="728">
        <f>transport!H18</f>
        <v>8805.0617842062311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63233.738044943588</v>
      </c>
    </row>
    <row r="46" spans="1:18" ht="15.75" thickBot="1">
      <c r="A46" s="887" t="s">
        <v>230</v>
      </c>
      <c r="B46" s="900"/>
      <c r="C46" s="764">
        <f t="shared" ref="C46:R46" ca="1" si="5">SUM(C43:C45)</f>
        <v>7.3130797617556924</v>
      </c>
      <c r="D46" s="764">
        <f t="shared" ca="1" si="5"/>
        <v>0</v>
      </c>
      <c r="E46" s="764">
        <f t="shared" si="5"/>
        <v>18.360273748589758</v>
      </c>
      <c r="F46" s="764">
        <f t="shared" si="5"/>
        <v>152.38992622299705</v>
      </c>
      <c r="G46" s="764">
        <f t="shared" si="5"/>
        <v>0</v>
      </c>
      <c r="H46" s="764">
        <f t="shared" si="5"/>
        <v>54606.959488941415</v>
      </c>
      <c r="I46" s="764">
        <f t="shared" si="5"/>
        <v>8805.0617842062311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63590.084552880988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503.6935317382451</v>
      </c>
      <c r="D48" s="719">
        <f ca="1">+landbouw!C12</f>
        <v>3055.5026297200106</v>
      </c>
      <c r="E48" s="719">
        <f>+landbouw!D12</f>
        <v>1320.8711017435119</v>
      </c>
      <c r="F48" s="719">
        <f>+landbouw!E12</f>
        <v>5.1330986042453768</v>
      </c>
      <c r="G48" s="719">
        <f>+landbouw!F12</f>
        <v>1653.8406874088398</v>
      </c>
      <c r="H48" s="719">
        <f>+landbouw!G12</f>
        <v>0</v>
      </c>
      <c r="I48" s="719">
        <f>+landbouw!H12</f>
        <v>0</v>
      </c>
      <c r="J48" s="719">
        <f>+landbouw!I12</f>
        <v>0</v>
      </c>
      <c r="K48" s="719">
        <f>+landbouw!J12</f>
        <v>132.49709790451101</v>
      </c>
      <c r="L48" s="719">
        <f>+landbouw!K12</f>
        <v>0</v>
      </c>
      <c r="M48" s="719">
        <f>+landbouw!L12</f>
        <v>0</v>
      </c>
      <c r="N48" s="719">
        <f>+landbouw!M12</f>
        <v>0</v>
      </c>
      <c r="O48" s="719">
        <f>+landbouw!N12</f>
        <v>0</v>
      </c>
      <c r="P48" s="719">
        <f>+landbouw!O12</f>
        <v>0</v>
      </c>
      <c r="Q48" s="720">
        <f>+landbouw!P12</f>
        <v>0</v>
      </c>
      <c r="R48" s="762">
        <f ca="1">SUM(C48:Q48)</f>
        <v>6671.5381471193641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12952.600048850636</v>
      </c>
      <c r="D53" s="774">
        <f t="shared" ref="D53:Q53" ca="1" si="6">D41+D46+D48</f>
        <v>3063.8647058823535</v>
      </c>
      <c r="E53" s="774">
        <f t="shared" ca="1" si="6"/>
        <v>17987.866236552949</v>
      </c>
      <c r="F53" s="774">
        <f t="shared" si="6"/>
        <v>924.67367764277617</v>
      </c>
      <c r="G53" s="774">
        <f t="shared" ca="1" si="6"/>
        <v>7952.897687886627</v>
      </c>
      <c r="H53" s="774">
        <f t="shared" si="6"/>
        <v>54606.959488941415</v>
      </c>
      <c r="I53" s="774">
        <f t="shared" si="6"/>
        <v>8805.0617842062311</v>
      </c>
      <c r="J53" s="774">
        <f t="shared" si="6"/>
        <v>0</v>
      </c>
      <c r="K53" s="774">
        <f t="shared" si="6"/>
        <v>138.07151767551582</v>
      </c>
      <c r="L53" s="774">
        <f t="shared" si="6"/>
        <v>0</v>
      </c>
      <c r="M53" s="774">
        <f t="shared" ca="1" si="6"/>
        <v>0</v>
      </c>
      <c r="N53" s="774">
        <f t="shared" si="6"/>
        <v>0</v>
      </c>
      <c r="O53" s="774">
        <f t="shared" ca="1" si="6"/>
        <v>0</v>
      </c>
      <c r="P53" s="774">
        <f>P41+P46+P48</f>
        <v>0</v>
      </c>
      <c r="Q53" s="775">
        <f t="shared" si="6"/>
        <v>0</v>
      </c>
      <c r="R53" s="776">
        <f ca="1">R41+R46+R48</f>
        <v>106431.9951476385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0.20631796219718351</v>
      </c>
      <c r="D55" s="837">
        <f t="shared" ca="1" si="7"/>
        <v>0.23650316418746939</v>
      </c>
      <c r="E55" s="837">
        <f t="shared" ca="1" si="7"/>
        <v>0.20200000000000001</v>
      </c>
      <c r="F55" s="837">
        <f t="shared" si="7"/>
        <v>0.22699999999999998</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4806.8971301286074</v>
      </c>
      <c r="C66" s="796">
        <f>'lokale energieproductie'!B6</f>
        <v>4806.8971301286074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9068.4</v>
      </c>
      <c r="C67" s="795">
        <f>B67*IFERROR(SUM(J67:L67)/SUM(D67:M67),0)</f>
        <v>43.649999999999991</v>
      </c>
      <c r="D67" s="827">
        <f>'lokale energieproductie'!C7</f>
        <v>10617.352941176472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2144.7052941176476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13875.297130128607</v>
      </c>
      <c r="C69" s="804">
        <f>SUM(C64:C68)</f>
        <v>4850.547130128607</v>
      </c>
      <c r="D69" s="805">
        <f t="shared" ref="D69:M69" si="8">SUM(D67:D68)</f>
        <v>10617.352941176472</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2144.7052941176476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12954.857142857143</v>
      </c>
      <c r="C78" s="818">
        <f>B78*IFERROR(SUM(I78:L78)/SUM(D78:M78),0)</f>
        <v>62.357142857142833</v>
      </c>
      <c r="D78" s="833">
        <f>'lokale energieproductie'!C16</f>
        <v>15167.647058823532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3063.8647058823535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12954.857142857143</v>
      </c>
      <c r="C81" s="804">
        <f>SUM(C78:C80)</f>
        <v>62.357142857142833</v>
      </c>
      <c r="D81" s="804">
        <f t="shared" ref="D81:P81" si="9">SUM(D78:D80)</f>
        <v>15167.647058823532</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3063.8647058823535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26278.081489902303</v>
      </c>
      <c r="C4" s="479">
        <f>huishoudens!C8</f>
        <v>0</v>
      </c>
      <c r="D4" s="479">
        <f>huishoudens!D8</f>
        <v>50646.878688364137</v>
      </c>
      <c r="E4" s="479">
        <f>huishoudens!E8</f>
        <v>2611.4707347110343</v>
      </c>
      <c r="F4" s="479">
        <f>huishoudens!F8</f>
        <v>18213.73795455592</v>
      </c>
      <c r="G4" s="479">
        <f>huishoudens!G8</f>
        <v>0</v>
      </c>
      <c r="H4" s="479">
        <f>huishoudens!H8</f>
        <v>0</v>
      </c>
      <c r="I4" s="479">
        <f>huishoudens!I8</f>
        <v>0</v>
      </c>
      <c r="J4" s="479">
        <f>huishoudens!J8</f>
        <v>0</v>
      </c>
      <c r="K4" s="479">
        <f>huishoudens!K8</f>
        <v>0</v>
      </c>
      <c r="L4" s="479">
        <f>huishoudens!L8</f>
        <v>0</v>
      </c>
      <c r="M4" s="479">
        <f>huishoudens!M8</f>
        <v>0</v>
      </c>
      <c r="N4" s="479">
        <f>huishoudens!N8</f>
        <v>12565.576213899236</v>
      </c>
      <c r="O4" s="479">
        <f>huishoudens!O8</f>
        <v>221.99333333333334</v>
      </c>
      <c r="P4" s="480">
        <f>huishoudens!P8</f>
        <v>514.79999999999995</v>
      </c>
      <c r="Q4" s="481">
        <f>SUM(B4:P4)</f>
        <v>111052.53841476596</v>
      </c>
    </row>
    <row r="5" spans="1:17">
      <c r="A5" s="478" t="s">
        <v>156</v>
      </c>
      <c r="B5" s="479">
        <f ca="1">tertiair!B16</f>
        <v>15399.028116279069</v>
      </c>
      <c r="C5" s="479">
        <f ca="1">tertiair!C16</f>
        <v>35.357142857142861</v>
      </c>
      <c r="D5" s="479">
        <f ca="1">tertiair!D16</f>
        <v>13936.813041462789</v>
      </c>
      <c r="E5" s="479">
        <f>tertiair!E16</f>
        <v>172.58504166720584</v>
      </c>
      <c r="F5" s="479">
        <f ca="1">tertiair!F16</f>
        <v>2237.2646221875611</v>
      </c>
      <c r="G5" s="479">
        <f>tertiair!G16</f>
        <v>0</v>
      </c>
      <c r="H5" s="479">
        <f>tertiair!H16</f>
        <v>0</v>
      </c>
      <c r="I5" s="479">
        <f>tertiair!I16</f>
        <v>0</v>
      </c>
      <c r="J5" s="479">
        <f>tertiair!J16</f>
        <v>0</v>
      </c>
      <c r="K5" s="479">
        <f>tertiair!K16</f>
        <v>0</v>
      </c>
      <c r="L5" s="479">
        <f ca="1">tertiair!L16</f>
        <v>0</v>
      </c>
      <c r="M5" s="479">
        <f>tertiair!M16</f>
        <v>0</v>
      </c>
      <c r="N5" s="479">
        <f ca="1">tertiair!N16</f>
        <v>1159.6601917520429</v>
      </c>
      <c r="O5" s="479">
        <f>tertiair!O16</f>
        <v>0</v>
      </c>
      <c r="P5" s="480">
        <f>tertiair!P16</f>
        <v>57.2</v>
      </c>
      <c r="Q5" s="478">
        <f t="shared" ref="Q5:Q13" ca="1" si="0">SUM(B5:P5)</f>
        <v>32997.908156205813</v>
      </c>
    </row>
    <row r="6" spans="1:17">
      <c r="A6" s="478" t="s">
        <v>194</v>
      </c>
      <c r="B6" s="479">
        <f>'openbare verlichting'!B8</f>
        <v>1056.364</v>
      </c>
      <c r="C6" s="479"/>
      <c r="D6" s="479"/>
      <c r="E6" s="479"/>
      <c r="F6" s="479"/>
      <c r="G6" s="479"/>
      <c r="H6" s="479"/>
      <c r="I6" s="479"/>
      <c r="J6" s="479"/>
      <c r="K6" s="479"/>
      <c r="L6" s="479"/>
      <c r="M6" s="479"/>
      <c r="N6" s="479"/>
      <c r="O6" s="479"/>
      <c r="P6" s="480"/>
      <c r="Q6" s="478">
        <f t="shared" si="0"/>
        <v>1056.364</v>
      </c>
    </row>
    <row r="7" spans="1:17">
      <c r="A7" s="478" t="s">
        <v>112</v>
      </c>
      <c r="B7" s="479">
        <f>landbouw!B8</f>
        <v>2441.346</v>
      </c>
      <c r="C7" s="479">
        <f>landbouw!C8</f>
        <v>12919.5</v>
      </c>
      <c r="D7" s="479">
        <f>landbouw!D8</f>
        <v>6538.9658502154052</v>
      </c>
      <c r="E7" s="479">
        <f>landbouw!E8</f>
        <v>22.612769181697693</v>
      </c>
      <c r="F7" s="479">
        <f>landbouw!F8</f>
        <v>6194.1598779357291</v>
      </c>
      <c r="G7" s="479">
        <f>landbouw!G8</f>
        <v>0</v>
      </c>
      <c r="H7" s="479">
        <f>landbouw!H8</f>
        <v>0</v>
      </c>
      <c r="I7" s="479">
        <f>landbouw!I8</f>
        <v>0</v>
      </c>
      <c r="J7" s="479">
        <f>landbouw!J8</f>
        <v>374.28558730087855</v>
      </c>
      <c r="K7" s="479">
        <f>landbouw!K8</f>
        <v>0</v>
      </c>
      <c r="L7" s="479">
        <f>landbouw!L8</f>
        <v>0</v>
      </c>
      <c r="M7" s="479">
        <f>landbouw!M8</f>
        <v>0</v>
      </c>
      <c r="N7" s="479">
        <f>landbouw!N8</f>
        <v>0</v>
      </c>
      <c r="O7" s="479">
        <f>landbouw!O8</f>
        <v>0</v>
      </c>
      <c r="P7" s="480">
        <f>landbouw!P8</f>
        <v>0</v>
      </c>
      <c r="Q7" s="478">
        <f t="shared" si="0"/>
        <v>28490.870084633709</v>
      </c>
    </row>
    <row r="8" spans="1:17">
      <c r="A8" s="478" t="s">
        <v>650</v>
      </c>
      <c r="B8" s="479">
        <f>industrie!B18</f>
        <v>17569.532999999999</v>
      </c>
      <c r="C8" s="479">
        <f>industrie!C18</f>
        <v>0</v>
      </c>
      <c r="D8" s="479">
        <f>industrie!D18</f>
        <v>17835.292730870329</v>
      </c>
      <c r="E8" s="479">
        <f>industrie!E18</f>
        <v>595.46251796331842</v>
      </c>
      <c r="F8" s="479">
        <f>industrie!F18</f>
        <v>3140.9712078175166</v>
      </c>
      <c r="G8" s="479">
        <f>industrie!G18</f>
        <v>0</v>
      </c>
      <c r="H8" s="479">
        <f>industrie!H18</f>
        <v>0</v>
      </c>
      <c r="I8" s="479">
        <f>industrie!I18</f>
        <v>0</v>
      </c>
      <c r="J8" s="479">
        <f>industrie!J18</f>
        <v>15.746948505663349</v>
      </c>
      <c r="K8" s="479">
        <f>industrie!K18</f>
        <v>0</v>
      </c>
      <c r="L8" s="479">
        <f>industrie!L18</f>
        <v>0</v>
      </c>
      <c r="M8" s="479">
        <f>industrie!M18</f>
        <v>0</v>
      </c>
      <c r="N8" s="479">
        <f>industrie!N18</f>
        <v>7170.7451689515992</v>
      </c>
      <c r="O8" s="479">
        <f>industrie!O18</f>
        <v>0</v>
      </c>
      <c r="P8" s="480">
        <f>industrie!P18</f>
        <v>0</v>
      </c>
      <c r="Q8" s="478">
        <f t="shared" si="0"/>
        <v>46327.751574108428</v>
      </c>
    </row>
    <row r="9" spans="1:17" s="484" customFormat="1">
      <c r="A9" s="482" t="s">
        <v>571</v>
      </c>
      <c r="B9" s="483">
        <f>transport!B14</f>
        <v>35.445676585184522</v>
      </c>
      <c r="C9" s="483">
        <f>transport!C14</f>
        <v>0</v>
      </c>
      <c r="D9" s="483">
        <f>transport!D14</f>
        <v>90.89244429994929</v>
      </c>
      <c r="E9" s="483">
        <f>transport!E14</f>
        <v>671.32126089426015</v>
      </c>
      <c r="F9" s="483">
        <f>transport!F14</f>
        <v>0</v>
      </c>
      <c r="G9" s="483">
        <f>transport!G14</f>
        <v>203185.81640825473</v>
      </c>
      <c r="H9" s="483">
        <f>transport!H14</f>
        <v>35361.693912474824</v>
      </c>
      <c r="I9" s="483">
        <f>transport!I14</f>
        <v>0</v>
      </c>
      <c r="J9" s="483">
        <f>transport!J14</f>
        <v>0</v>
      </c>
      <c r="K9" s="483">
        <f>transport!K14</f>
        <v>0</v>
      </c>
      <c r="L9" s="483">
        <f>transport!L14</f>
        <v>0</v>
      </c>
      <c r="M9" s="483">
        <f>transport!M14</f>
        <v>12841.933925960579</v>
      </c>
      <c r="N9" s="483">
        <f>transport!N14</f>
        <v>0</v>
      </c>
      <c r="O9" s="483">
        <f>transport!O14</f>
        <v>0</v>
      </c>
      <c r="P9" s="483">
        <f>transport!P14</f>
        <v>0</v>
      </c>
      <c r="Q9" s="482">
        <f>SUM(B9:P9)</f>
        <v>252187.10362846954</v>
      </c>
    </row>
    <row r="10" spans="1:17">
      <c r="A10" s="478" t="s">
        <v>561</v>
      </c>
      <c r="B10" s="479">
        <f>transport!B54</f>
        <v>0</v>
      </c>
      <c r="C10" s="479">
        <f>transport!C54</f>
        <v>0</v>
      </c>
      <c r="D10" s="479">
        <f>transport!D54</f>
        <v>0</v>
      </c>
      <c r="E10" s="479">
        <f>transport!E54</f>
        <v>0</v>
      </c>
      <c r="F10" s="479">
        <f>transport!F54</f>
        <v>0</v>
      </c>
      <c r="G10" s="479">
        <f>transport!G54</f>
        <v>1334.6311158704239</v>
      </c>
      <c r="H10" s="479">
        <f>transport!H54</f>
        <v>0</v>
      </c>
      <c r="I10" s="479">
        <f>transport!I54</f>
        <v>0</v>
      </c>
      <c r="J10" s="479">
        <f>transport!J54</f>
        <v>0</v>
      </c>
      <c r="K10" s="479">
        <f>transport!K54</f>
        <v>0</v>
      </c>
      <c r="L10" s="479">
        <f>transport!L54</f>
        <v>0</v>
      </c>
      <c r="M10" s="479">
        <f>transport!M54</f>
        <v>76.110121878215026</v>
      </c>
      <c r="N10" s="479">
        <f>transport!N54</f>
        <v>0</v>
      </c>
      <c r="O10" s="479">
        <f>transport!O54</f>
        <v>0</v>
      </c>
      <c r="P10" s="480">
        <f>transport!P54</f>
        <v>0</v>
      </c>
      <c r="Q10" s="478">
        <f t="shared" si="0"/>
        <v>1410.7412377486389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62779.798282766562</v>
      </c>
      <c r="C14" s="489">
        <f t="shared" ref="C14:Q14" ca="1" si="1">SUM(C4:C13)</f>
        <v>12954.857142857143</v>
      </c>
      <c r="D14" s="489">
        <f t="shared" ca="1" si="1"/>
        <v>89048.842755212609</v>
      </c>
      <c r="E14" s="489">
        <f t="shared" si="1"/>
        <v>4073.452324417517</v>
      </c>
      <c r="F14" s="489">
        <f t="shared" ca="1" si="1"/>
        <v>29786.13366249673</v>
      </c>
      <c r="G14" s="489">
        <f t="shared" si="1"/>
        <v>204520.44752412516</v>
      </c>
      <c r="H14" s="489">
        <f t="shared" si="1"/>
        <v>35361.693912474824</v>
      </c>
      <c r="I14" s="489">
        <f t="shared" si="1"/>
        <v>0</v>
      </c>
      <c r="J14" s="489">
        <f t="shared" si="1"/>
        <v>390.03253580654189</v>
      </c>
      <c r="K14" s="489">
        <f t="shared" si="1"/>
        <v>0</v>
      </c>
      <c r="L14" s="489">
        <f t="shared" ca="1" si="1"/>
        <v>0</v>
      </c>
      <c r="M14" s="489">
        <f t="shared" si="1"/>
        <v>12918.044047838794</v>
      </c>
      <c r="N14" s="489">
        <f t="shared" ca="1" si="1"/>
        <v>20895.981574602876</v>
      </c>
      <c r="O14" s="489">
        <f t="shared" si="1"/>
        <v>221.99333333333334</v>
      </c>
      <c r="P14" s="490">
        <f t="shared" si="1"/>
        <v>572</v>
      </c>
      <c r="Q14" s="490">
        <f t="shared" ca="1" si="1"/>
        <v>473523.27709593211</v>
      </c>
    </row>
    <row r="16" spans="1:17">
      <c r="A16" s="492" t="s">
        <v>566</v>
      </c>
      <c r="B16" s="842">
        <f ca="1">huishoudens!B10</f>
        <v>0.20631796219718349</v>
      </c>
      <c r="C16" s="842">
        <f ca="1">huishoudens!C10</f>
        <v>0.23650316418746939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5421.6402234481702</v>
      </c>
      <c r="C21" s="479">
        <f t="shared" ref="C21:C30" ca="1" si="3">C4*$C$16</f>
        <v>0</v>
      </c>
      <c r="D21" s="479">
        <f t="shared" ref="D21:D30" si="4">D4*$D$16</f>
        <v>10230.669495049557</v>
      </c>
      <c r="E21" s="479">
        <f t="shared" ref="E21:E30" si="5">E4*$E$16</f>
        <v>592.80385677940478</v>
      </c>
      <c r="F21" s="479">
        <f t="shared" ref="F21:F30" si="6">F4*$F$16</f>
        <v>4863.0680338664306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21108.181609143561</v>
      </c>
    </row>
    <row r="22" spans="1:17">
      <c r="A22" s="478" t="s">
        <v>156</v>
      </c>
      <c r="B22" s="479">
        <f t="shared" ca="1" si="2"/>
        <v>3177.0961007678306</v>
      </c>
      <c r="C22" s="479">
        <f t="shared" ca="1" si="3"/>
        <v>8.3620761623426692</v>
      </c>
      <c r="D22" s="479">
        <f t="shared" ca="1" si="4"/>
        <v>2815.2362343754835</v>
      </c>
      <c r="E22" s="479">
        <f t="shared" si="5"/>
        <v>39.176804458455727</v>
      </c>
      <c r="F22" s="479">
        <f t="shared" ca="1" si="6"/>
        <v>597.34965412407882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6637.2208698881914</v>
      </c>
    </row>
    <row r="23" spans="1:17">
      <c r="A23" s="478" t="s">
        <v>194</v>
      </c>
      <c r="B23" s="479">
        <f t="shared" ca="1" si="2"/>
        <v>217.94686781846553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217.94686781846553</v>
      </c>
    </row>
    <row r="24" spans="1:17">
      <c r="A24" s="478" t="s">
        <v>112</v>
      </c>
      <c r="B24" s="479">
        <f t="shared" ca="1" si="2"/>
        <v>503.6935317382451</v>
      </c>
      <c r="C24" s="479">
        <f t="shared" ca="1" si="3"/>
        <v>3055.5026297200106</v>
      </c>
      <c r="D24" s="479">
        <f t="shared" si="4"/>
        <v>1320.8711017435119</v>
      </c>
      <c r="E24" s="479">
        <f t="shared" si="5"/>
        <v>5.1330986042453768</v>
      </c>
      <c r="F24" s="479">
        <f t="shared" si="6"/>
        <v>1653.8406874088398</v>
      </c>
      <c r="G24" s="479">
        <f t="shared" si="7"/>
        <v>0</v>
      </c>
      <c r="H24" s="479">
        <f t="shared" si="8"/>
        <v>0</v>
      </c>
      <c r="I24" s="479">
        <f t="shared" si="9"/>
        <v>0</v>
      </c>
      <c r="J24" s="479">
        <f t="shared" si="10"/>
        <v>132.49709790451101</v>
      </c>
      <c r="K24" s="479">
        <f t="shared" si="11"/>
        <v>0</v>
      </c>
      <c r="L24" s="479">
        <f t="shared" si="12"/>
        <v>0</v>
      </c>
      <c r="M24" s="479">
        <f t="shared" si="13"/>
        <v>0</v>
      </c>
      <c r="N24" s="479">
        <f t="shared" si="14"/>
        <v>0</v>
      </c>
      <c r="O24" s="479">
        <f t="shared" si="15"/>
        <v>0</v>
      </c>
      <c r="P24" s="480">
        <f t="shared" si="16"/>
        <v>0</v>
      </c>
      <c r="Q24" s="478">
        <f t="shared" ca="1" si="17"/>
        <v>6671.5381471193641</v>
      </c>
    </row>
    <row r="25" spans="1:17">
      <c r="A25" s="478" t="s">
        <v>650</v>
      </c>
      <c r="B25" s="479">
        <f t="shared" ca="1" si="2"/>
        <v>3624.9102453161677</v>
      </c>
      <c r="C25" s="479">
        <f t="shared" ca="1" si="3"/>
        <v>0</v>
      </c>
      <c r="D25" s="479">
        <f t="shared" si="4"/>
        <v>3602.7291316358069</v>
      </c>
      <c r="E25" s="479">
        <f t="shared" si="5"/>
        <v>135.16999157767327</v>
      </c>
      <c r="F25" s="479">
        <f t="shared" si="6"/>
        <v>838.63931248727704</v>
      </c>
      <c r="G25" s="479">
        <f t="shared" si="7"/>
        <v>0</v>
      </c>
      <c r="H25" s="479">
        <f t="shared" si="8"/>
        <v>0</v>
      </c>
      <c r="I25" s="479">
        <f t="shared" si="9"/>
        <v>0</v>
      </c>
      <c r="J25" s="479">
        <f t="shared" si="10"/>
        <v>5.5744197710048251</v>
      </c>
      <c r="K25" s="479">
        <f t="shared" si="11"/>
        <v>0</v>
      </c>
      <c r="L25" s="479">
        <f t="shared" si="12"/>
        <v>0</v>
      </c>
      <c r="M25" s="479">
        <f t="shared" si="13"/>
        <v>0</v>
      </c>
      <c r="N25" s="479">
        <f t="shared" si="14"/>
        <v>0</v>
      </c>
      <c r="O25" s="479">
        <f t="shared" si="15"/>
        <v>0</v>
      </c>
      <c r="P25" s="480">
        <f t="shared" si="16"/>
        <v>0</v>
      </c>
      <c r="Q25" s="478">
        <f t="shared" ca="1" si="17"/>
        <v>8207.0231007879302</v>
      </c>
    </row>
    <row r="26" spans="1:17" s="484" customFormat="1">
      <c r="A26" s="482" t="s">
        <v>571</v>
      </c>
      <c r="B26" s="836">
        <f t="shared" ca="1" si="2"/>
        <v>7.3130797617556924</v>
      </c>
      <c r="C26" s="483">
        <f t="shared" ca="1" si="3"/>
        <v>0</v>
      </c>
      <c r="D26" s="483">
        <f t="shared" si="4"/>
        <v>18.360273748589758</v>
      </c>
      <c r="E26" s="483">
        <f t="shared" si="5"/>
        <v>152.38992622299705</v>
      </c>
      <c r="F26" s="483">
        <f t="shared" si="6"/>
        <v>0</v>
      </c>
      <c r="G26" s="483">
        <f t="shared" si="7"/>
        <v>54250.612981004015</v>
      </c>
      <c r="H26" s="483">
        <f t="shared" si="8"/>
        <v>8805.0617842062311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63233.738044943588</v>
      </c>
    </row>
    <row r="27" spans="1:17">
      <c r="A27" s="478" t="s">
        <v>561</v>
      </c>
      <c r="B27" s="479">
        <f t="shared" ca="1" si="2"/>
        <v>0</v>
      </c>
      <c r="C27" s="479">
        <f t="shared" ca="1" si="3"/>
        <v>0</v>
      </c>
      <c r="D27" s="479">
        <f t="shared" si="4"/>
        <v>0</v>
      </c>
      <c r="E27" s="479">
        <f t="shared" si="5"/>
        <v>0</v>
      </c>
      <c r="F27" s="479">
        <f t="shared" si="6"/>
        <v>0</v>
      </c>
      <c r="G27" s="479">
        <f t="shared" si="7"/>
        <v>356.3465079374032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356.3465079374032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12952.600048850636</v>
      </c>
      <c r="C31" s="489">
        <f t="shared" ca="1" si="18"/>
        <v>3063.8647058823535</v>
      </c>
      <c r="D31" s="489">
        <f t="shared" ca="1" si="18"/>
        <v>17987.866236552949</v>
      </c>
      <c r="E31" s="489">
        <f t="shared" si="18"/>
        <v>924.67367764277617</v>
      </c>
      <c r="F31" s="489">
        <f t="shared" ca="1" si="18"/>
        <v>7952.897687886627</v>
      </c>
      <c r="G31" s="489">
        <f t="shared" si="18"/>
        <v>54606.959488941415</v>
      </c>
      <c r="H31" s="489">
        <f t="shared" si="18"/>
        <v>8805.0617842062311</v>
      </c>
      <c r="I31" s="489">
        <f t="shared" si="18"/>
        <v>0</v>
      </c>
      <c r="J31" s="489">
        <f t="shared" si="18"/>
        <v>138.07151767551582</v>
      </c>
      <c r="K31" s="489">
        <f t="shared" si="18"/>
        <v>0</v>
      </c>
      <c r="L31" s="489">
        <f t="shared" ca="1" si="18"/>
        <v>0</v>
      </c>
      <c r="M31" s="489">
        <f t="shared" si="18"/>
        <v>0</v>
      </c>
      <c r="N31" s="489">
        <f t="shared" ca="1" si="18"/>
        <v>0</v>
      </c>
      <c r="O31" s="489">
        <f t="shared" si="18"/>
        <v>0</v>
      </c>
      <c r="P31" s="490">
        <f t="shared" si="18"/>
        <v>0</v>
      </c>
      <c r="Q31" s="490">
        <f t="shared" ca="1" si="18"/>
        <v>106431.9951476385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0.20631796219718349</v>
      </c>
      <c r="C17" s="529">
        <f ca="1">'EF ele_warmte'!B22</f>
        <v>0.23650316418746939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0.20631796219718349</v>
      </c>
      <c r="C17" s="529">
        <f ca="1">'EF ele_warmte'!B22</f>
        <v>0.23650316418746939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0.20631796219718349</v>
      </c>
      <c r="C29" s="530">
        <f ca="1">'EF ele_warmte'!B22</f>
        <v>0.23650316418746939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2018-06-27T09:36:20Z</dcterms:modified>
</cp:coreProperties>
</file>