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<sst xmlns="http://schemas.openxmlformats.org/spreadsheetml/2006/main" count="1950" uniqueCount="834">
  <si>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</si>
  <si>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</si>
  <si>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</si>
  <si>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</si>
  <si>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</si>
  <si>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</si>
  <si>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</si>
  <si>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</si>
  <si>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</si>
  <si>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</si>
  <si>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</si>
  <si>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</si>
  <si>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</si>
  <si>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</si>
  <si>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</si>
  <si>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</si>
  <si>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</si>
  <si>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</si>
  <si>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</si>
  <si>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</si>
  <si>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</si>
  <si>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</si>
  <si>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</si>
  <si>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</si>
  <si>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</si>
  <si>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</si>
  <si>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</si>
  <si>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</si>
  <si>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</si>
  <si>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</si>
  <si>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</si>
  <si>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</si>
  <si>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</si>
  <si>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</si>
  <si>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</si>
  <si>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</si>
  <si>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</si>
  <si>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</si>
  <si>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</si>
  <si>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</si>
  <si>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</si>
  <si>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</si>
  <si>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</si>
  <si>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</si>
  <si>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</si>
  <si>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</si>
  <si>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</si>
  <si>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</si>
  <si>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</si>
  <si>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</si>
  <si>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</si>
  <si>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</si>
  <si>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</si>
  <si>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</si>
  <si>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</si>
  <si>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</si>
  <si>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</si>
  <si>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</si>
  <si>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</si>
  <si>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</si>
  <si>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</si>
  <si>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</si>
  <si>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</si>
  <si>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</si>
  <si>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</si>
  <si>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</si>
  <si>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</si>
  <si>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</si>
  <si>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</si>
  <si>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</si>
  <si>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</si>
  <si>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</si>
  <si>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</si>
  <si>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</si>
  <si>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</si>
  <si>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</si>
  <si>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</si>
  <si>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</si>
  <si>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</si>
  <si>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</si>
  <si>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</si>
  <si>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</si>
  <si>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</si>
  <si>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</si>
  <si>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</si>
  <si>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</si>
  <si>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</si>
  <si>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</si>
  <si>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</si>
  <si>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</si>
  <si>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</si>
  <si>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</si>
  <si>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</si>
  <si>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</si>
  <si>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</si>
  <si>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</si>
  <si>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</si>
  <si>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</si>
  <si>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</si>
  <si>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</si>
  <si>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</si>
  <si>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</si>
  <si>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</si>
  <si>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</si>
  <si>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</si>
  <si>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</si>
  <si>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</si>
  <si>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</si>
  <si>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</si>
  <si>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</si>
  <si>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</si>
  <si>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</si>
  <si>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</si>
  <si>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</si>
  <si>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</si>
  <si>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</si>
  <si>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</si>
  <si>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</si>
  <si>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</si>
  <si>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</si>
  <si>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</si>
  <si>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</si>
  <si>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</si>
  <si>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</si>
  <si>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</si>
  <si>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</si>
  <si>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</si>
  <si>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</si>
  <si>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</si>
  <si>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</si>
  <si>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</si>
  <si>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</si>
  <si>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</si>
  <si>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</si>
  <si>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</si>
  <si>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</si>
  <si>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</si>
  <si>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</si>
  <si>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</si>
  <si>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</si>
  <si>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</si>
  <si>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</si>
  <si>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</si>
  <si>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</si>
  <si>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</si>
  <si>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</si>
  <si>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</si>
  <si>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</si>
  <si>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</si>
  <si>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</si>
  <si>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</si>
  <si>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</si>
  <si>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</si>
  <si>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</si>
  <si>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</si>
  <si>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</si>
  <si>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</si>
  <si>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</si>
  <si>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</si>
  <si>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</si>
  <si>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</si>
  <si>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</si>
  <si>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</si>
  <si>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</si>
  <si>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</si>
  <si>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</si>
  <si>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</si>
  <si>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</si>
  <si>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</si>
  <si>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</si>
  <si>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</si>
  <si>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</si>
  <si>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</si>
  <si>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</si>
  <si>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</si>
  <si>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</si>
  <si>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</si>
  <si>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</si>
  <si>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</si>
  <si>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</si>
  <si>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</si>
  <si>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</si>
  <si>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</si>
  <si>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</si>
  <si>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</si>
  <si>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</si>
  <si>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</si>
  <si>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</si>
  <si>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</si>
  <si>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</si>
  <si>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</si>
  <si>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</si>
  <si>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</si>
  <si>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</si>
  <si>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</si>
  <si>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</si>
  <si>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</si>
  <si>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</si>
  <si>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</si>
  <si>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</si>
  <si>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</si>
  <si>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</si>
  <si>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</si>
  <si>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</si>
  <si>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</si>
  <si>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</si>
  <si>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</si>
  <si>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</si>
  <si>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</si>
  <si>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</si>
  <si>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</si>
  <si>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</si>
  <si>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</si>
  <si>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</si>
  <si>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</si>
  <si>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</si>
  <si>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</si>
  <si>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</si>
  <si>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</si>
  <si>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</si>
  <si>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</si>
  <si>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</si>
  <si>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</si>
  <si>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</si>
  <si>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</si>
  <si>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</si>
  <si>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</si>
  <si>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</si>
  <si>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</si>
  <si>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</si>
  <si>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</si>
  <si>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</si>
  <si>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</si>
  <si>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</si>
  <si>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</si>
  <si>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</si>
  <si>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</si>
  <si>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</si>
  <si>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</si>
  <si>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</si>
  <si>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</si>
  <si>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</si>
  <si>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</si>
  <si>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</si>
  <si>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</si>
  <si>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</si>
  <si>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</si>
  <si>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</si>
  <si>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</si>
  <si>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</si>
  <si>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</si>
  <si>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</si>
  <si>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</si>
  <si>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</si>
  <si>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</si>
  <si>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</si>
  <si>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</si>
  <si>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</si>
  <si>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</si>
  <si>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</si>
  <si>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</si>
  <si>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</si>
  <si>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</si>
  <si>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</si>
  <si>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</si>
  <si>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</si>
  <si>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</si>
  <si>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</si>
  <si>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</si>
  <si>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</si>
  <si>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</si>
  <si>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</si>
  <si>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</si>
  <si>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</si>
  <si>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</si>
  <si>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</si>
  <si>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</si>
  <si>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</si>
  <si>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</si>
  <si>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</si>
  <si>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</si>
  <si>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</si>
  <si>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</si>
  <si>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</si>
  <si>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</si>
  <si>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</si>
  <si>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</si>
  <si>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</si>
  <si>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</si>
  <si>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</si>
  <si>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</si>
  <si>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</si>
  <si>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</si>
  <si>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</si>
  <si>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</si>
  <si>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</si>
  <si>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</si>
  <si>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</si>
  <si>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</si>
  <si>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</si>
  <si>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</si>
  <si>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</si>
  <si>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</si>
  <si>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</si>
  <si>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</si>
  <si>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</si>
  <si>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</si>
  <si>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</si>
  <si>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</si>
  <si>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</si>
  <si>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</si>
  <si>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</si>
  <si>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</si>
  <si>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</si>
  <si>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</si>
  <si>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</si>
  <si>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</si>
  <si>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</si>
  <si>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</si>
  <si>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</si>
  <si>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</si>
  <si>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</si>
  <si>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</si>
  <si>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</si>
  <si>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</si>
  <si>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</si>
  <si>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</si>
  <si>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</si>
  <si>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</si>
  <si>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</si>
  <si>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</si>
  <si>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</si>
  <si>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</si>
  <si>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</si>
  <si>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</si>
  <si>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</si>
  <si>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</si>
  <si>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</si>
  <si>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</si>
  <si>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</si>
  <si>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</si>
  <si>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</si>
  <si>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</si>
  <si>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</si>
  <si>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</si>
  <si>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</si>
  <si>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</si>
  <si>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</si>
  <si>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</si>
  <si>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</si>
  <si>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</si>
  <si>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</si>
  <si>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</si>
  <si>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</si>
  <si>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</si>
  <si>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</si>
  <si>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</si>
  <si>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</si>
  <si>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</si>
  <si>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</si>
  <si>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</si>
  <si>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</si>
  <si>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</si>
  <si>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</si>
  <si>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</si>
  <si>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</si>
  <si>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</si>
  <si>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</si>
  <si>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</si>
  <si>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</si>
  <si>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</si>
  <si>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</si>
  <si>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</si>
  <si>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</si>
  <si>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</si>
  <si>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</si>
  <si>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</si>
  <si>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</si>
  <si>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</si>
  <si>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</si>
  <si>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</si>
  <si>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</si>
  <si>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</si>
  <si>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</si>
  <si>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</si>
  <si>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</si>
  <si>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</si>
  <si>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</si>
  <si>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</si>
  <si>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</si>
  <si>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</si>
  <si>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</si>
  <si>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</si>
  <si>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</si>
  <si>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</si>
  <si>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</si>
  <si>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</si>
  <si>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</si>
  <si>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</si>
  <si>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</si>
  <si>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</si>
  <si>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</si>
  <si>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</si>
  <si>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</si>
  <si>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</si>
  <si>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</si>
  <si>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</si>
  <si>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</si>
  <si>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</si>
  <si>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</si>
  <si>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</si>
  <si>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</si>
  <si>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</si>
  <si>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</si>
  <si>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</si>
  <si>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</si>
  <si>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</si>
  <si>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</si>
  <si>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</si>
  <si>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</si>
  <si>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</si>
  <si>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</si>
  <si>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</si>
  <si>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</si>
  <si>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</si>
  <si>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</si>
  <si>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</si>
  <si>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</si>
  <si>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</si>
  <si>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</si>
  <si>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</si>
  <si>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</si>
  <si>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</si>
  <si>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</si>
  <si>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</si>
  <si>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</si>
  <si>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</si>
  <si>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</si>
  <si>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</si>
  <si>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</si>
  <si>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</si>
  <si>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</si>
  <si>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</si>
  <si>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</si>
  <si>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</si>
  <si>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</si>
  <si>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</si>
  <si>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</si>
  <si>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</si>
  <si>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</si>
  <si>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</si>
  <si>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</si>
  <si>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</si>
  <si>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</si>
  <si>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</si>
  <si>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</si>
  <si>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</si>
  <si>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</si>
  <si>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</si>
  <si>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</si>
  <si>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</si>
  <si>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</si>
  <si>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</si>
  <si>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</si>
  <si>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</si>
  <si>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</si>
  <si>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</si>
  <si>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</si>
  <si>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</si>
  <si>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</si>
  <si>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</si>
  <si>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</si>
  <si>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</si>
  <si>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</si>
  <si>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</si>
  <si>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</si>
  <si>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</si>
  <si>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</si>
  <si>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</si>
  <si>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</si>
  <si>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</si>
  <si>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</si>
  <si>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</si>
  <si>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</si>
  <si>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</si>
  <si>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</si>
  <si>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</si>
  <si>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</si>
  <si>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</si>
  <si>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</si>
  <si>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</si>
  <si>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</si>
  <si>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</si>
  <si>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</si>
  <si>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</si>
  <si>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</si>
  <si>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</si>
  <si>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</si>
  <si>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</si>
  <si>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</si>
  <si>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</si>
  <si>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</si>
  <si>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</si>
  <si>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</si>
  <si>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</si>
  <si>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</si>
  <si>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</si>
  <si>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</si>
  <si>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</si>
  <si>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</si>
  <si>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</si>
  <si>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</si>
  <si>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</si>
  <si>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</si>
  <si>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</si>
  <si>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</si>
  <si>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</si>
  <si>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</si>
  <si>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</si>
  <si>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</si>
  <si>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</si>
  <si>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</si>
  <si>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</si>
  <si>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</si>
  <si>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</si>
  <si>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</si>
  <si>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</si>
  <si>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</si>
  <si>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</si>
  <si>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</si>
  <si>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</si>
  <si>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</si>
  <si>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</si>
  <si>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</si>
  <si>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</si>
  <si>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</si>
  <si>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</si>
  <si>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</si>
  <si>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</si>
  <si>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</si>
  <si>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</si>
  <si>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</si>
  <si>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</si>
  <si>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</si>
  <si>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</si>
  <si>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</si>
  <si>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</si>
  <si>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</si>
  <si>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</si>
  <si>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</si>
  <si>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</si>
  <si>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</si>
  <si>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</si>
  <si>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</si>
  <si>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</si>
  <si>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</si>
  <si>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</si>
  <si>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</si>
  <si>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</si>
  <si>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</si>
  <si>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</si>
  <si>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</si>
  <si>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</si>
  <si>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</si>
  <si>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</si>
  <si>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</si>
  <si>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</si>
  <si>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</si>
  <si>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</si>
  <si>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</si>
  <si>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</si>
  <si>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</si>
  <si>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</si>
  <si>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</si>
  <si>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</si>
  <si>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</si>
  <si>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</si>
  <si>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</si>
  <si>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</si>
  <si>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</si>
  <si>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</si>
  <si>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</si>
  <si>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</si>
  <si>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</si>
  <si>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</si>
  <si>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</si>
  <si>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</si>
  <si>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</si>
  <si>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</si>
  <si>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</si>
  <si>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</si>
  <si>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</si>
  <si>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</si>
  <si>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</si>
  <si>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</si>
  <si>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</si>
  <si>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</si>
  <si>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</si>
  <si>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</si>
  <si>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</si>
  <si>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</si>
  <si>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</si>
  <si>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</si>
  <si>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</si>
  <si>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</si>
  <si>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</si>
  <si>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</si>
  <si>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</si>
  <si>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</si>
  <si>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</si>
  <si>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</si>
  <si>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</si>
  <si>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</si>
  <si>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</si>
  <si>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</si>
  <si>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</si>
  <si>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</si>
  <si>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</si>
  <si>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</si>
  <si>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</si>
  <si>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</si>
  <si>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</si>
  <si>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</si>
  <si>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</si>
  <si>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</si>
  <si>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</si>
  <si>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</si>
  <si>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</si>
  <si>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</si>
  <si>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</si>
  <si>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</si>
  <si>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</si>
  <si>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</si>
  <si>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</si>
  <si>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</si>
  <si>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</si>
  <si>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</si>
  <si>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</si>
  <si>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</si>
  <si>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</si>
  <si>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</si>
  <si>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</si>
  <si>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</si>
  <si>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</si>
  <si>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</si>
  <si>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</si>
  <si>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</si>
  <si>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</si>
  <si>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</si>
  <si>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</si>
  <si>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</si>
  <si>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</si>
  <si>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</si>
  <si>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</si>
  <si>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</si>
  <si>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</si>
  <si>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</si>
  <si>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</si>
  <si>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</si>
  <si>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</si>
  <si>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</si>
  <si>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</si>
  <si>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</si>
  <si>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</si>
  <si>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</si>
  <si>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</si>
  <si>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</si>
  <si>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</si>
  <si>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</si>
  <si>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</si>
  <si>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</si>
  <si>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</si>
  <si>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</si>
  <si>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</si>
  <si>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</si>
  <si>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</si>
  <si>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</si>
  <si>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</si>
  <si>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</si>
  <si>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</si>
  <si>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</si>
  <si>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</si>
  <si>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</si>
  <si>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</si>
  <si>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</si>
  <si>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</si>
  <si>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</si>
  <si>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</si>
  <si>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</si>
  <si>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</si>
  <si>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</si>
  <si>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</si>
  <si>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</si>
  <si>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</si>
  <si>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</si>
  <si>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</si>
  <si>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</si>
  <si>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</si>
  <si>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</si>
  <si>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</si>
  <si>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</si>
  <si>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</si>
  <si>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</si>
  <si>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</si>
  <si>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</si>
  <si>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</si>
  <si>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</si>
  <si>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</si>
  <si>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</si>
  <si>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</si>
  <si>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</si>
  <si>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</si>
  <si>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</si>
  <si>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</si>
  <si>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</si>
  <si>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</si>
  <si>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</si>
  <si>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</si>
  <si>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</si>
  <si>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</si>
  <si>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</si>
  <si>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</si>
  <si>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</si>
  <si>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</si>
  <si>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</si>
  <si>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</si>
  <si>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</si>
  <si>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</si>
  <si>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</si>
  <si>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</si>
  <si>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</si>
  <si>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</si>
  <si>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</si>
  <si>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</si>
  <si>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</si>
  <si>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</si>
  <si>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</si>
  <si>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</si>
  <si>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</si>
  <si>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</si>
  <si>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</si>
  <si>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</si>
  <si>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</si>
  <si>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</si>
  <si>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</si>
  <si>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</si>
  <si>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</si>
  <si>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</si>
  <si>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</si>
  <si>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</si>
  <si>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</si>
  <si>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</si>
  <si>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</si>
  <si>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</si>
  <si>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</si>
  <si>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</si>
  <si>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</si>
  <si>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</si>
  <si>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</si>
  <si>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</si>
  <si>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</si>
  <si>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</si>
  <si>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</si>
  <si>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</si>
  <si>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</si>
  <si>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</si>
  <si>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</si>
  <si>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</si>
  <si>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</si>
  <si>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</si>
  <si>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</si>
  <si>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</si>
  <si>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</si>
  <si>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</si>
  <si>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</si>
  <si>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</si>
  <si>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</si>
  <si>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</si>
  <si>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</si>
  <si>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</si>
  <si>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</si>
  <si>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</si>
  <si>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</si>
  <si>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</si>
  <si>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</si>
  <si>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</si>
  <si>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</si>
  <si>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</si>
  <si>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</si>
  <si>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</si>
  <si>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</si>
  <si>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</si>
  <si>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</si>
  <si>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</si>
  <si>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</si>
  <si>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</si>
  <si>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</si>
  <si>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</si>
  <si>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</si>
  <si>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</si>
  <si>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</si>
  <si>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</si>
  <si>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</si>
  <si>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</si>
  <si>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</si>
  <si>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</si>
  <si>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</si>
  <si>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</si>
  <si>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</si>
  <si>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</si>
  <si>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</si>
  <si>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</si>
  <si>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</si>
  <si>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</si>
  <si>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</si>
  <si>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</si>
  <si>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</si>
  <si>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</si>
  <si>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</si>
  <si>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</si>
  <si>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</si>
  <si>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</si>
  <si>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</si>
  <si>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</si>
  <si>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</si>
  <si>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</si>
  <si>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24054</t>
  </si>
  <si>
    <t>KORTENAKEN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</si>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</sst>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87051.918127558514</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87051.918127558514</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19119.123993314803</c:v>
                </c:pt>
                <c:pt idx="1">
                  <c:v>1046.669240667753</c:v>
                </c:pt>
                <c:pt idx="2">
                  <c:v>123.91808160687494</c:v>
                </c:pt>
                <c:pt idx="3">
                  <c:v>3671.4593629892661</c:v>
                </c:pt>
                <c:pt idx="4">
                  <c:v>732.45192503885175</c:v>
                </c:pt>
                <c:pt idx="5">
                  <c:v>8468.4716077687954</c:v>
                </c:pt>
                <c:pt idx="6">
                  <c:v>156.88765156348964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19119.123993314803</c:v>
                </c:pt>
                <c:pt idx="1">
                  <c:v>1046.669240667753</c:v>
                </c:pt>
                <c:pt idx="2">
                  <c:v>123.91808160687494</c:v>
                </c:pt>
                <c:pt idx="3">
                  <c:v>3671.4593629892661</c:v>
                </c:pt>
                <c:pt idx="4">
                  <c:v>732.45192503885175</c:v>
                </c:pt>
                <c:pt idx="5">
                  <c:v>8468.4716077687954</c:v>
                </c:pt>
                <c:pt idx="6">
                  <c:v>156.88765156348964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24054</v>
      </c>
      <c r="B6" s="416"/>
      <c r="C6" s="417"/>
    </row>
    <row r="7" spans="1:7" s="414" customFormat="1" ht="15.75" customHeight="1">
      <c r="A7" s="418" t="str">
        <f>txtMunicipality</f>
        <v>KORTENAKEN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4210.5140000000001</v>
      </c>
      <c r="D10" s="719">
        <f ca="1">tertiair!C16</f>
        <v>0</v>
      </c>
      <c r="E10" s="719">
        <f ca="1">tertiair!D16</f>
        <v>1211.5285159999999</v>
      </c>
      <c r="F10" s="719">
        <f>tertiair!E16</f>
        <v>34.977151383472588</v>
      </c>
      <c r="G10" s="719">
        <f ca="1">tertiair!F16</f>
        <v>493.50867576425537</v>
      </c>
      <c r="H10" s="719">
        <f>tertiair!G16</f>
        <v>0</v>
      </c>
      <c r="I10" s="719">
        <f>tertiair!H16</f>
        <v>0</v>
      </c>
      <c r="J10" s="719">
        <f>tertiair!I16</f>
        <v>0</v>
      </c>
      <c r="K10" s="719">
        <f>tertiair!J16</f>
        <v>0</v>
      </c>
      <c r="L10" s="719">
        <f>tertiair!K16</f>
        <v>0</v>
      </c>
      <c r="M10" s="719">
        <f ca="1">tertiair!L16</f>
        <v>0</v>
      </c>
      <c r="N10" s="719">
        <f>tertiair!M16</f>
        <v>0</v>
      </c>
      <c r="O10" s="719">
        <f ca="1">tertiair!N16</f>
        <v>208.42444481800919</v>
      </c>
      <c r="P10" s="719">
        <f>tertiair!O16</f>
        <v>0</v>
      </c>
      <c r="Q10" s="720">
        <f>tertiair!P16</f>
        <v>0</v>
      </c>
      <c r="R10" s="722">
        <f ca="1">SUM(C10:Q10)</f>
        <v>6158.9527879657371</v>
      </c>
      <c r="S10" s="67"/>
    </row>
    <row r="11" spans="1:19" s="475" customFormat="1">
      <c r="A11" s="871" t="s">
        <v>225</v>
      </c>
      <c r="B11" s="876"/>
      <c r="C11" s="719">
        <f>huishoudens!B8</f>
        <v>14224.270181251393</v>
      </c>
      <c r="D11" s="719">
        <f>huishoudens!C8</f>
        <v>0</v>
      </c>
      <c r="E11" s="719">
        <f>huishoudens!D8</f>
        <v>8919.549672000001</v>
      </c>
      <c r="F11" s="719">
        <f>huishoudens!E8</f>
        <v>3144.7813502954941</v>
      </c>
      <c r="G11" s="719">
        <f>huishoudens!F8</f>
        <v>49053.271552971462</v>
      </c>
      <c r="H11" s="719">
        <f>huishoudens!G8</f>
        <v>0</v>
      </c>
      <c r="I11" s="719">
        <f>huishoudens!H8</f>
        <v>0</v>
      </c>
      <c r="J11" s="719">
        <f>huishoudens!I8</f>
        <v>0</v>
      </c>
      <c r="K11" s="719">
        <f>huishoudens!J8</f>
        <v>2402.3994822837271</v>
      </c>
      <c r="L11" s="719">
        <f>huishoudens!K8</f>
        <v>0</v>
      </c>
      <c r="M11" s="719">
        <f>huishoudens!L8</f>
        <v>0</v>
      </c>
      <c r="N11" s="719">
        <f>huishoudens!M8</f>
        <v>0</v>
      </c>
      <c r="O11" s="719">
        <f>huishoudens!N8</f>
        <v>8745.6092220897717</v>
      </c>
      <c r="P11" s="719">
        <f>huishoudens!O8</f>
        <v>123.50333333333334</v>
      </c>
      <c r="Q11" s="720">
        <f>huishoudens!P8</f>
        <v>438.5333333333333</v>
      </c>
      <c r="R11" s="722">
        <f>SUM(C11:Q11)</f>
        <v>87051.918127558514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1248.107</v>
      </c>
      <c r="D13" s="719">
        <f>industrie!C18</f>
        <v>0</v>
      </c>
      <c r="E13" s="719">
        <f>industrie!D18</f>
        <v>255.51675599999999</v>
      </c>
      <c r="F13" s="719">
        <f>industrie!E18</f>
        <v>114.7618873987816</v>
      </c>
      <c r="G13" s="719">
        <f>industrie!F18</f>
        <v>1558.4598113113725</v>
      </c>
      <c r="H13" s="719">
        <f>industrie!G18</f>
        <v>0</v>
      </c>
      <c r="I13" s="719">
        <f>industrie!H18</f>
        <v>0</v>
      </c>
      <c r="J13" s="719">
        <f>industrie!I18</f>
        <v>0</v>
      </c>
      <c r="K13" s="719">
        <f>industrie!J18</f>
        <v>15.937089920577689</v>
      </c>
      <c r="L13" s="719">
        <f>industrie!K18</f>
        <v>0</v>
      </c>
      <c r="M13" s="719">
        <f>industrie!L18</f>
        <v>0</v>
      </c>
      <c r="N13" s="719">
        <f>industrie!M18</f>
        <v>0</v>
      </c>
      <c r="O13" s="719">
        <f>industrie!N18</f>
        <v>493.7225156727601</v>
      </c>
      <c r="P13" s="719">
        <f>industrie!O18</f>
        <v>0</v>
      </c>
      <c r="Q13" s="720">
        <f>industrie!P18</f>
        <v>0</v>
      </c>
      <c r="R13" s="722">
        <f>SUM(C13:Q13)</f>
        <v>3686.505060303492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19682.891181251394</v>
      </c>
      <c r="D15" s="724">
        <f t="shared" ref="D15:Q15" ca="1" si="0">SUM(D9:D14)</f>
        <v>0</v>
      </c>
      <c r="E15" s="724">
        <f t="shared" ca="1" si="0"/>
        <v>10386.594944</v>
      </c>
      <c r="F15" s="724">
        <f t="shared" si="0"/>
        <v>3294.5203890777484</v>
      </c>
      <c r="G15" s="724">
        <f t="shared" ca="1" si="0"/>
        <v>51105.240040047094</v>
      </c>
      <c r="H15" s="724">
        <f t="shared" si="0"/>
        <v>0</v>
      </c>
      <c r="I15" s="724">
        <f t="shared" si="0"/>
        <v>0</v>
      </c>
      <c r="J15" s="724">
        <f t="shared" si="0"/>
        <v>0</v>
      </c>
      <c r="K15" s="724">
        <f t="shared" si="0"/>
        <v>2418.336572204305</v>
      </c>
      <c r="L15" s="724">
        <f t="shared" si="0"/>
        <v>0</v>
      </c>
      <c r="M15" s="724">
        <f t="shared" ca="1" si="0"/>
        <v>0</v>
      </c>
      <c r="N15" s="724">
        <f t="shared" si="0"/>
        <v>0</v>
      </c>
      <c r="O15" s="724">
        <f t="shared" ca="1" si="0"/>
        <v>9447.7561825805406</v>
      </c>
      <c r="P15" s="724">
        <f t="shared" si="0"/>
        <v>123.50333333333334</v>
      </c>
      <c r="Q15" s="725">
        <f t="shared" si="0"/>
        <v>438.5333333333333</v>
      </c>
      <c r="R15" s="726">
        <f ca="1">SUM(R9:R14)</f>
        <v>96897.375975827745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587.59420061232072</v>
      </c>
      <c r="I18" s="719">
        <f>transport!H54</f>
        <v>0</v>
      </c>
      <c r="J18" s="719">
        <f>transport!I54</f>
        <v>0</v>
      </c>
      <c r="K18" s="719">
        <f>transport!J54</f>
        <v>0</v>
      </c>
      <c r="L18" s="719">
        <f>transport!K54</f>
        <v>0</v>
      </c>
      <c r="M18" s="719">
        <f>transport!L54</f>
        <v>0</v>
      </c>
      <c r="N18" s="719">
        <f>transport!M54</f>
        <v>33.508784331293839</v>
      </c>
      <c r="O18" s="719">
        <f>transport!N54</f>
        <v>0</v>
      </c>
      <c r="P18" s="719">
        <f>transport!O54</f>
        <v>0</v>
      </c>
      <c r="Q18" s="720">
        <f>transport!P54</f>
        <v>0</v>
      </c>
      <c r="R18" s="722">
        <f>SUM(C18:Q18)</f>
        <v>621.1029849436145</v>
      </c>
      <c r="S18" s="67"/>
    </row>
    <row r="19" spans="1:19" s="475" customFormat="1" ht="15" thickBot="1">
      <c r="A19" s="871" t="s">
        <v>307</v>
      </c>
      <c r="B19" s="876"/>
      <c r="C19" s="728">
        <f>transport!B14</f>
        <v>4.586812402984175</v>
      </c>
      <c r="D19" s="728">
        <f>transport!C14</f>
        <v>0</v>
      </c>
      <c r="E19" s="728">
        <f>transport!D14</f>
        <v>16.855277150377827</v>
      </c>
      <c r="F19" s="728">
        <f>transport!E14</f>
        <v>102.53679817818254</v>
      </c>
      <c r="G19" s="728">
        <f>transport!F14</f>
        <v>0</v>
      </c>
      <c r="H19" s="728">
        <f>transport!G14</f>
        <v>25787.620791735837</v>
      </c>
      <c r="I19" s="728">
        <f>transport!H14</f>
        <v>6247.5495019439786</v>
      </c>
      <c r="J19" s="728">
        <f>transport!I14</f>
        <v>0</v>
      </c>
      <c r="K19" s="728">
        <f>transport!J14</f>
        <v>0</v>
      </c>
      <c r="L19" s="728">
        <f>transport!K14</f>
        <v>0</v>
      </c>
      <c r="M19" s="728">
        <f>transport!L14</f>
        <v>0</v>
      </c>
      <c r="N19" s="728">
        <f>transport!M14</f>
        <v>1684.0214964563643</v>
      </c>
      <c r="O19" s="728">
        <f>transport!N14</f>
        <v>0</v>
      </c>
      <c r="P19" s="728">
        <f>transport!O14</f>
        <v>0</v>
      </c>
      <c r="Q19" s="729">
        <f>transport!P14</f>
        <v>0</v>
      </c>
      <c r="R19" s="730">
        <f>SUM(C19:Q19)</f>
        <v>33843.170677867725</v>
      </c>
      <c r="S19" s="67"/>
    </row>
    <row r="20" spans="1:19" s="475" customFormat="1" ht="15.75" thickBot="1">
      <c r="A20" s="731" t="s">
        <v>230</v>
      </c>
      <c r="B20" s="879"/>
      <c r="C20" s="874">
        <f>SUM(C17:C19)</f>
        <v>4.586812402984175</v>
      </c>
      <c r="D20" s="732">
        <f t="shared" ref="D20:R20" si="1">SUM(D17:D19)</f>
        <v>0</v>
      </c>
      <c r="E20" s="732">
        <f t="shared" si="1"/>
        <v>16.855277150377827</v>
      </c>
      <c r="F20" s="732">
        <f t="shared" si="1"/>
        <v>102.53679817818254</v>
      </c>
      <c r="G20" s="732">
        <f t="shared" si="1"/>
        <v>0</v>
      </c>
      <c r="H20" s="732">
        <f t="shared" si="1"/>
        <v>26375.214992348159</v>
      </c>
      <c r="I20" s="732">
        <f t="shared" si="1"/>
        <v>6247.5495019439786</v>
      </c>
      <c r="J20" s="732">
        <f t="shared" si="1"/>
        <v>0</v>
      </c>
      <c r="K20" s="732">
        <f t="shared" si="1"/>
        <v>0</v>
      </c>
      <c r="L20" s="732">
        <f t="shared" si="1"/>
        <v>0</v>
      </c>
      <c r="M20" s="732">
        <f t="shared" si="1"/>
        <v>0</v>
      </c>
      <c r="N20" s="732">
        <f t="shared" si="1"/>
        <v>1717.5302807876581</v>
      </c>
      <c r="O20" s="732">
        <f t="shared" si="1"/>
        <v>0</v>
      </c>
      <c r="P20" s="732">
        <f t="shared" si="1"/>
        <v>0</v>
      </c>
      <c r="Q20" s="733">
        <f t="shared" si="1"/>
        <v>0</v>
      </c>
      <c r="R20" s="734">
        <f t="shared" si="1"/>
        <v>34464.273662811342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3969.8026328125002</v>
      </c>
      <c r="D22" s="728">
        <f>+landbouw!C8</f>
        <v>0</v>
      </c>
      <c r="E22" s="728">
        <f>+landbouw!D8</f>
        <v>85.107308000000003</v>
      </c>
      <c r="F22" s="728">
        <f>+landbouw!E8</f>
        <v>36.769974691291146</v>
      </c>
      <c r="G22" s="728">
        <f>+landbouw!F8</f>
        <v>10072.145526070788</v>
      </c>
      <c r="H22" s="728">
        <f>+landbouw!G8</f>
        <v>0</v>
      </c>
      <c r="I22" s="728">
        <f>+landbouw!H8</f>
        <v>0</v>
      </c>
      <c r="J22" s="728">
        <f>+landbouw!I8</f>
        <v>0</v>
      </c>
      <c r="K22" s="728">
        <f>+landbouw!J8</f>
        <v>608.61504673684135</v>
      </c>
      <c r="L22" s="728">
        <f>+landbouw!K8</f>
        <v>0</v>
      </c>
      <c r="M22" s="728">
        <f>+landbouw!L8</f>
        <v>0</v>
      </c>
      <c r="N22" s="728">
        <f>+landbouw!M8</f>
        <v>0</v>
      </c>
      <c r="O22" s="728">
        <f>+landbouw!N8</f>
        <v>0</v>
      </c>
      <c r="P22" s="728">
        <f>+landbouw!O8</f>
        <v>0</v>
      </c>
      <c r="Q22" s="729">
        <f>+landbouw!P8</f>
        <v>0</v>
      </c>
      <c r="R22" s="730">
        <f>SUM(C22:Q22)</f>
        <v>14772.44048831142</v>
      </c>
      <c r="S22" s="67"/>
    </row>
    <row r="23" spans="1:19" s="475" customFormat="1" ht="17.25" thickTop="1" thickBot="1">
      <c r="A23" s="735" t="s">
        <v>116</v>
      </c>
      <c r="B23" s="865"/>
      <c r="C23" s="736">
        <f ca="1">C20+C15+C22</f>
        <v>23657.28062646688</v>
      </c>
      <c r="D23" s="736">
        <f t="shared" ref="D23:Q23" ca="1" si="2">D20+D15+D22</f>
        <v>0</v>
      </c>
      <c r="E23" s="736">
        <f t="shared" ca="1" si="2"/>
        <v>10488.557529150379</v>
      </c>
      <c r="F23" s="736">
        <f t="shared" si="2"/>
        <v>3433.8271619472221</v>
      </c>
      <c r="G23" s="736">
        <f t="shared" ca="1" si="2"/>
        <v>61177.385566117882</v>
      </c>
      <c r="H23" s="736">
        <f t="shared" si="2"/>
        <v>26375.214992348159</v>
      </c>
      <c r="I23" s="736">
        <f t="shared" si="2"/>
        <v>6247.5495019439786</v>
      </c>
      <c r="J23" s="736">
        <f t="shared" si="2"/>
        <v>0</v>
      </c>
      <c r="K23" s="736">
        <f t="shared" si="2"/>
        <v>3026.9516189411461</v>
      </c>
      <c r="L23" s="736">
        <f t="shared" si="2"/>
        <v>0</v>
      </c>
      <c r="M23" s="736">
        <f t="shared" ca="1" si="2"/>
        <v>0</v>
      </c>
      <c r="N23" s="736">
        <f t="shared" si="2"/>
        <v>1717.5302807876581</v>
      </c>
      <c r="O23" s="736">
        <f t="shared" ca="1" si="2"/>
        <v>9447.7561825805406</v>
      </c>
      <c r="P23" s="736">
        <f t="shared" si="2"/>
        <v>123.50333333333334</v>
      </c>
      <c r="Q23" s="737">
        <f t="shared" si="2"/>
        <v>438.5333333333333</v>
      </c>
      <c r="R23" s="738">
        <f ca="1">R20+R15+R22</f>
        <v>146134.09012695053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786.15193224952338</v>
      </c>
      <c r="D36" s="719">
        <f ca="1">tertiair!C20</f>
        <v>0</v>
      </c>
      <c r="E36" s="719">
        <f ca="1">tertiair!D20</f>
        <v>244.72876023199998</v>
      </c>
      <c r="F36" s="719">
        <f>tertiair!E20</f>
        <v>7.9398133640482778</v>
      </c>
      <c r="G36" s="719">
        <f ca="1">tertiair!F20</f>
        <v>131.76681642905618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1170.5873222746277</v>
      </c>
    </row>
    <row r="37" spans="1:18">
      <c r="A37" s="886" t="s">
        <v>225</v>
      </c>
      <c r="B37" s="893"/>
      <c r="C37" s="719">
        <f ca="1">huishoudens!B12</f>
        <v>2655.8366716819041</v>
      </c>
      <c r="D37" s="719">
        <f ca="1">huishoudens!C12</f>
        <v>0</v>
      </c>
      <c r="E37" s="719">
        <f>huishoudens!D12</f>
        <v>1801.7490337440004</v>
      </c>
      <c r="F37" s="719">
        <f>huishoudens!E12</f>
        <v>713.86536651707718</v>
      </c>
      <c r="G37" s="719">
        <f>huishoudens!F12</f>
        <v>13097.223504643382</v>
      </c>
      <c r="H37" s="719">
        <f>huishoudens!G12</f>
        <v>0</v>
      </c>
      <c r="I37" s="719">
        <f>huishoudens!H12</f>
        <v>0</v>
      </c>
      <c r="J37" s="719">
        <f>huishoudens!I12</f>
        <v>0</v>
      </c>
      <c r="K37" s="719">
        <f>huishoudens!J12</f>
        <v>850.44941672843936</v>
      </c>
      <c r="L37" s="719">
        <f>huishoudens!K12</f>
        <v>0</v>
      </c>
      <c r="M37" s="719">
        <f>huishoudens!L12</f>
        <v>0</v>
      </c>
      <c r="N37" s="719">
        <f>huishoudens!M12</f>
        <v>0</v>
      </c>
      <c r="O37" s="719">
        <f>huishoudens!N12</f>
        <v>0</v>
      </c>
      <c r="P37" s="719">
        <f>huishoudens!O12</f>
        <v>0</v>
      </c>
      <c r="Q37" s="829">
        <f>huishoudens!P12</f>
        <v>0</v>
      </c>
      <c r="R37" s="918">
        <f ca="1">SUM(C37:Q37)</f>
        <v>19119.123993314803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233.03609243530738</v>
      </c>
      <c r="D39" s="719">
        <f ca="1">industrie!C22</f>
        <v>0</v>
      </c>
      <c r="E39" s="719">
        <f>industrie!D22</f>
        <v>51.614384712000003</v>
      </c>
      <c r="F39" s="719">
        <f>industrie!E22</f>
        <v>26.050948439523424</v>
      </c>
      <c r="G39" s="719">
        <f>industrie!F22</f>
        <v>416.10876962013646</v>
      </c>
      <c r="H39" s="719">
        <f>industrie!G22</f>
        <v>0</v>
      </c>
      <c r="I39" s="719">
        <f>industrie!H22</f>
        <v>0</v>
      </c>
      <c r="J39" s="719">
        <f>industrie!I22</f>
        <v>0</v>
      </c>
      <c r="K39" s="719">
        <f>industrie!J22</f>
        <v>5.6417298318845015</v>
      </c>
      <c r="L39" s="719">
        <f>industrie!K22</f>
        <v>0</v>
      </c>
      <c r="M39" s="719">
        <f>industrie!L22</f>
        <v>0</v>
      </c>
      <c r="N39" s="719">
        <f>industrie!M22</f>
        <v>0</v>
      </c>
      <c r="O39" s="719">
        <f>industrie!N22</f>
        <v>0</v>
      </c>
      <c r="P39" s="719">
        <f>industrie!O22</f>
        <v>0</v>
      </c>
      <c r="Q39" s="829">
        <f>industrie!P22</f>
        <v>0</v>
      </c>
      <c r="R39" s="919">
        <f ca="1">SUM(C39:Q39)</f>
        <v>732.45192503885175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3675.0246963667346</v>
      </c>
      <c r="D41" s="764">
        <f t="shared" ref="D41:R41" ca="1" si="4">SUM(D35:D40)</f>
        <v>0</v>
      </c>
      <c r="E41" s="764">
        <f t="shared" ca="1" si="4"/>
        <v>2098.0921786880003</v>
      </c>
      <c r="F41" s="764">
        <f t="shared" si="4"/>
        <v>747.85612832064885</v>
      </c>
      <c r="G41" s="764">
        <f t="shared" ca="1" si="4"/>
        <v>13645.099090692573</v>
      </c>
      <c r="H41" s="764">
        <f t="shared" si="4"/>
        <v>0</v>
      </c>
      <c r="I41" s="764">
        <f t="shared" si="4"/>
        <v>0</v>
      </c>
      <c r="J41" s="764">
        <f t="shared" si="4"/>
        <v>0</v>
      </c>
      <c r="K41" s="764">
        <f t="shared" si="4"/>
        <v>856.09114656032386</v>
      </c>
      <c r="L41" s="764">
        <f t="shared" si="4"/>
        <v>0</v>
      </c>
      <c r="M41" s="764">
        <f t="shared" ca="1" si="4"/>
        <v>0</v>
      </c>
      <c r="N41" s="764">
        <f t="shared" si="4"/>
        <v>0</v>
      </c>
      <c r="O41" s="764">
        <f t="shared" ca="1" si="4"/>
        <v>0</v>
      </c>
      <c r="P41" s="764">
        <f t="shared" si="4"/>
        <v>0</v>
      </c>
      <c r="Q41" s="765">
        <f t="shared" si="4"/>
        <v>0</v>
      </c>
      <c r="R41" s="766">
        <f t="shared" ca="1" si="4"/>
        <v>21022.163240628281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156.88765156348964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156.88765156348964</v>
      </c>
    </row>
    <row r="45" spans="1:18" ht="15" thickBot="1">
      <c r="A45" s="889" t="s">
        <v>307</v>
      </c>
      <c r="B45" s="899"/>
      <c r="C45" s="728">
        <f ca="1">transport!B18</f>
        <v>0.85641122045244089</v>
      </c>
      <c r="D45" s="728">
        <f>transport!C18</f>
        <v>0</v>
      </c>
      <c r="E45" s="728">
        <f>transport!D18</f>
        <v>3.4047659843763212</v>
      </c>
      <c r="F45" s="728">
        <f>transport!E18</f>
        <v>23.275853186447435</v>
      </c>
      <c r="G45" s="728">
        <f>transport!F18</f>
        <v>0</v>
      </c>
      <c r="H45" s="728">
        <f>transport!G18</f>
        <v>6885.2947513934687</v>
      </c>
      <c r="I45" s="728">
        <f>transport!H18</f>
        <v>1555.6398259840507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8468.4716077687954</v>
      </c>
    </row>
    <row r="46" spans="1:18" ht="15.75" thickBot="1">
      <c r="A46" s="887" t="s">
        <v>230</v>
      </c>
      <c r="B46" s="900"/>
      <c r="C46" s="764">
        <f t="shared" ref="C46:R46" ca="1" si="5">SUM(C43:C45)</f>
        <v>0.85641122045244089</v>
      </c>
      <c r="D46" s="764">
        <f t="shared" ca="1" si="5"/>
        <v>0</v>
      </c>
      <c r="E46" s="764">
        <f t="shared" si="5"/>
        <v>3.4047659843763212</v>
      </c>
      <c r="F46" s="764">
        <f t="shared" si="5"/>
        <v>23.275853186447435</v>
      </c>
      <c r="G46" s="764">
        <f t="shared" si="5"/>
        <v>0</v>
      </c>
      <c r="H46" s="764">
        <f t="shared" si="5"/>
        <v>7042.182402956958</v>
      </c>
      <c r="I46" s="764">
        <f t="shared" si="5"/>
        <v>1555.6398259840507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8625.3592593322846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741.20832051260061</v>
      </c>
      <c r="D48" s="719">
        <f ca="1">+landbouw!C12</f>
        <v>0</v>
      </c>
      <c r="E48" s="719">
        <f>+landbouw!D12</f>
        <v>17.191676216000001</v>
      </c>
      <c r="F48" s="719">
        <f>+landbouw!E12</f>
        <v>8.3467842549230902</v>
      </c>
      <c r="G48" s="719">
        <f>+landbouw!F12</f>
        <v>2689.2628554609005</v>
      </c>
      <c r="H48" s="719">
        <f>+landbouw!G12</f>
        <v>0</v>
      </c>
      <c r="I48" s="719">
        <f>+landbouw!H12</f>
        <v>0</v>
      </c>
      <c r="J48" s="719">
        <f>+landbouw!I12</f>
        <v>0</v>
      </c>
      <c r="K48" s="719">
        <f>+landbouw!J12</f>
        <v>215.44972654484184</v>
      </c>
      <c r="L48" s="719">
        <f>+landbouw!K12</f>
        <v>0</v>
      </c>
      <c r="M48" s="719">
        <f>+landbouw!L12</f>
        <v>0</v>
      </c>
      <c r="N48" s="719">
        <f>+landbouw!M12</f>
        <v>0</v>
      </c>
      <c r="O48" s="719">
        <f>+landbouw!N12</f>
        <v>0</v>
      </c>
      <c r="P48" s="719">
        <f>+landbouw!O12</f>
        <v>0</v>
      </c>
      <c r="Q48" s="720">
        <f>+landbouw!P12</f>
        <v>0</v>
      </c>
      <c r="R48" s="762">
        <f ca="1">SUM(C48:Q48)</f>
        <v>3671.4593629892661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4417.0894280997882</v>
      </c>
      <c r="D53" s="774">
        <f t="shared" ref="D53:Q53" ca="1" si="6">D41+D46+D48</f>
        <v>0</v>
      </c>
      <c r="E53" s="774">
        <f t="shared" ca="1" si="6"/>
        <v>2118.6886208883766</v>
      </c>
      <c r="F53" s="774">
        <f t="shared" si="6"/>
        <v>779.47876576201941</v>
      </c>
      <c r="G53" s="774">
        <f t="shared" ca="1" si="6"/>
        <v>16334.361946153473</v>
      </c>
      <c r="H53" s="774">
        <f t="shared" si="6"/>
        <v>7042.182402956958</v>
      </c>
      <c r="I53" s="774">
        <f t="shared" si="6"/>
        <v>1555.6398259840507</v>
      </c>
      <c r="J53" s="774">
        <f t="shared" si="6"/>
        <v>0</v>
      </c>
      <c r="K53" s="774">
        <f t="shared" si="6"/>
        <v>1071.5408731051657</v>
      </c>
      <c r="L53" s="774">
        <f t="shared" si="6"/>
        <v>0</v>
      </c>
      <c r="M53" s="774">
        <f t="shared" ca="1" si="6"/>
        <v>0</v>
      </c>
      <c r="N53" s="774">
        <f t="shared" si="6"/>
        <v>0</v>
      </c>
      <c r="O53" s="774">
        <f t="shared" ca="1" si="6"/>
        <v>0</v>
      </c>
      <c r="P53" s="774">
        <f>P41+P46+P48</f>
        <v>0</v>
      </c>
      <c r="Q53" s="775">
        <f t="shared" si="6"/>
        <v>0</v>
      </c>
      <c r="R53" s="776">
        <f ca="1">R41+R46+R48</f>
        <v>33318.981862949833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0.18671163004077967</v>
      </c>
      <c r="D55" s="837">
        <f t="shared" ca="1" si="7"/>
        <v>0</v>
      </c>
      <c r="E55" s="837">
        <f t="shared" ca="1" si="7"/>
        <v>0.20200000000000001</v>
      </c>
      <c r="F55" s="837">
        <f t="shared" si="7"/>
        <v>0.22700000000000001</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3670.4506350651227</v>
      </c>
      <c r="C66" s="796">
        <f>'lokale energieproductie'!B6</f>
        <v>3670.4506350651227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3670.4506350651227</v>
      </c>
      <c r="C69" s="804">
        <f>SUM(C64:C68)</f>
        <v>3670.4506350651227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14224.270181251393</v>
      </c>
      <c r="C4" s="479">
        <f>huishoudens!C8</f>
        <v>0</v>
      </c>
      <c r="D4" s="479">
        <f>huishoudens!D8</f>
        <v>8919.549672000001</v>
      </c>
      <c r="E4" s="479">
        <f>huishoudens!E8</f>
        <v>3144.7813502954941</v>
      </c>
      <c r="F4" s="479">
        <f>huishoudens!F8</f>
        <v>49053.271552971462</v>
      </c>
      <c r="G4" s="479">
        <f>huishoudens!G8</f>
        <v>0</v>
      </c>
      <c r="H4" s="479">
        <f>huishoudens!H8</f>
        <v>0</v>
      </c>
      <c r="I4" s="479">
        <f>huishoudens!I8</f>
        <v>0</v>
      </c>
      <c r="J4" s="479">
        <f>huishoudens!J8</f>
        <v>2402.3994822837271</v>
      </c>
      <c r="K4" s="479">
        <f>huishoudens!K8</f>
        <v>0</v>
      </c>
      <c r="L4" s="479">
        <f>huishoudens!L8</f>
        <v>0</v>
      </c>
      <c r="M4" s="479">
        <f>huishoudens!M8</f>
        <v>0</v>
      </c>
      <c r="N4" s="479">
        <f>huishoudens!N8</f>
        <v>8745.6092220897717</v>
      </c>
      <c r="O4" s="479">
        <f>huishoudens!O8</f>
        <v>123.50333333333334</v>
      </c>
      <c r="P4" s="480">
        <f>huishoudens!P8</f>
        <v>438.5333333333333</v>
      </c>
      <c r="Q4" s="481">
        <f>SUM(B4:P4)</f>
        <v>87051.918127558514</v>
      </c>
    </row>
    <row r="5" spans="1:17">
      <c r="A5" s="478" t="s">
        <v>156</v>
      </c>
      <c r="B5" s="479">
        <f ca="1">tertiair!B16</f>
        <v>3546.8270000000002</v>
      </c>
      <c r="C5" s="479">
        <f ca="1">tertiair!C16</f>
        <v>0</v>
      </c>
      <c r="D5" s="479">
        <f ca="1">tertiair!D16</f>
        <v>1211.5285159999999</v>
      </c>
      <c r="E5" s="479">
        <f>tertiair!E16</f>
        <v>34.977151383472588</v>
      </c>
      <c r="F5" s="479">
        <f ca="1">tertiair!F16</f>
        <v>493.50867576425537</v>
      </c>
      <c r="G5" s="479">
        <f>tertiair!G16</f>
        <v>0</v>
      </c>
      <c r="H5" s="479">
        <f>tertiair!H16</f>
        <v>0</v>
      </c>
      <c r="I5" s="479">
        <f>tertiair!I16</f>
        <v>0</v>
      </c>
      <c r="J5" s="479">
        <f>tertiair!J16</f>
        <v>0</v>
      </c>
      <c r="K5" s="479">
        <f>tertiair!K16</f>
        <v>0</v>
      </c>
      <c r="L5" s="479">
        <f ca="1">tertiair!L16</f>
        <v>0</v>
      </c>
      <c r="M5" s="479">
        <f>tertiair!M16</f>
        <v>0</v>
      </c>
      <c r="N5" s="479">
        <f ca="1">tertiair!N16</f>
        <v>208.42444481800919</v>
      </c>
      <c r="O5" s="479">
        <f>tertiair!O16</f>
        <v>0</v>
      </c>
      <c r="P5" s="480">
        <f>tertiair!P16</f>
        <v>0</v>
      </c>
      <c r="Q5" s="478">
        <f t="shared" ref="Q5:Q13" ca="1" si="0">SUM(B5:P5)</f>
        <v>5495.2657879657372</v>
      </c>
    </row>
    <row r="6" spans="1:17">
      <c r="A6" s="478" t="s">
        <v>194</v>
      </c>
      <c r="B6" s="479">
        <f>'openbare verlichting'!B8</f>
        <v>663.68700000000001</v>
      </c>
      <c r="C6" s="479"/>
      <c r="D6" s="479"/>
      <c r="E6" s="479"/>
      <c r="F6" s="479"/>
      <c r="G6" s="479"/>
      <c r="H6" s="479"/>
      <c r="I6" s="479"/>
      <c r="J6" s="479"/>
      <c r="K6" s="479"/>
      <c r="L6" s="479"/>
      <c r="M6" s="479"/>
      <c r="N6" s="479"/>
      <c r="O6" s="479"/>
      <c r="P6" s="480"/>
      <c r="Q6" s="478">
        <f t="shared" si="0"/>
        <v>663.68700000000001</v>
      </c>
    </row>
    <row r="7" spans="1:17">
      <c r="A7" s="478" t="s">
        <v>112</v>
      </c>
      <c r="B7" s="479">
        <f>landbouw!B8</f>
        <v>3969.8026328125002</v>
      </c>
      <c r="C7" s="479">
        <f>landbouw!C8</f>
        <v>0</v>
      </c>
      <c r="D7" s="479">
        <f>landbouw!D8</f>
        <v>85.107308000000003</v>
      </c>
      <c r="E7" s="479">
        <f>landbouw!E8</f>
        <v>36.769974691291146</v>
      </c>
      <c r="F7" s="479">
        <f>landbouw!F8</f>
        <v>10072.145526070788</v>
      </c>
      <c r="G7" s="479">
        <f>landbouw!G8</f>
        <v>0</v>
      </c>
      <c r="H7" s="479">
        <f>landbouw!H8</f>
        <v>0</v>
      </c>
      <c r="I7" s="479">
        <f>landbouw!I8</f>
        <v>0</v>
      </c>
      <c r="J7" s="479">
        <f>landbouw!J8</f>
        <v>608.61504673684135</v>
      </c>
      <c r="K7" s="479">
        <f>landbouw!K8</f>
        <v>0</v>
      </c>
      <c r="L7" s="479">
        <f>landbouw!L8</f>
        <v>0</v>
      </c>
      <c r="M7" s="479">
        <f>landbouw!M8</f>
        <v>0</v>
      </c>
      <c r="N7" s="479">
        <f>landbouw!N8</f>
        <v>0</v>
      </c>
      <c r="O7" s="479">
        <f>landbouw!O8</f>
        <v>0</v>
      </c>
      <c r="P7" s="480">
        <f>landbouw!P8</f>
        <v>0</v>
      </c>
      <c r="Q7" s="478">
        <f t="shared" si="0"/>
        <v>14772.44048831142</v>
      </c>
    </row>
    <row r="8" spans="1:17">
      <c r="A8" s="478" t="s">
        <v>650</v>
      </c>
      <c r="B8" s="479">
        <f>industrie!B18</f>
        <v>1248.107</v>
      </c>
      <c r="C8" s="479">
        <f>industrie!C18</f>
        <v>0</v>
      </c>
      <c r="D8" s="479">
        <f>industrie!D18</f>
        <v>255.51675599999999</v>
      </c>
      <c r="E8" s="479">
        <f>industrie!E18</f>
        <v>114.7618873987816</v>
      </c>
      <c r="F8" s="479">
        <f>industrie!F18</f>
        <v>1558.4598113113725</v>
      </c>
      <c r="G8" s="479">
        <f>industrie!G18</f>
        <v>0</v>
      </c>
      <c r="H8" s="479">
        <f>industrie!H18</f>
        <v>0</v>
      </c>
      <c r="I8" s="479">
        <f>industrie!I18</f>
        <v>0</v>
      </c>
      <c r="J8" s="479">
        <f>industrie!J18</f>
        <v>15.937089920577689</v>
      </c>
      <c r="K8" s="479">
        <f>industrie!K18</f>
        <v>0</v>
      </c>
      <c r="L8" s="479">
        <f>industrie!L18</f>
        <v>0</v>
      </c>
      <c r="M8" s="479">
        <f>industrie!M18</f>
        <v>0</v>
      </c>
      <c r="N8" s="479">
        <f>industrie!N18</f>
        <v>493.7225156727601</v>
      </c>
      <c r="O8" s="479">
        <f>industrie!O18</f>
        <v>0</v>
      </c>
      <c r="P8" s="480">
        <f>industrie!P18</f>
        <v>0</v>
      </c>
      <c r="Q8" s="478">
        <f t="shared" si="0"/>
        <v>3686.505060303492</v>
      </c>
    </row>
    <row r="9" spans="1:17" s="484" customFormat="1">
      <c r="A9" s="482" t="s">
        <v>571</v>
      </c>
      <c r="B9" s="483">
        <f>transport!B14</f>
        <v>4.586812402984175</v>
      </c>
      <c r="C9" s="483">
        <f>transport!C14</f>
        <v>0</v>
      </c>
      <c r="D9" s="483">
        <f>transport!D14</f>
        <v>16.855277150377827</v>
      </c>
      <c r="E9" s="483">
        <f>transport!E14</f>
        <v>102.53679817818254</v>
      </c>
      <c r="F9" s="483">
        <f>transport!F14</f>
        <v>0</v>
      </c>
      <c r="G9" s="483">
        <f>transport!G14</f>
        <v>25787.620791735837</v>
      </c>
      <c r="H9" s="483">
        <f>transport!H14</f>
        <v>6247.5495019439786</v>
      </c>
      <c r="I9" s="483">
        <f>transport!I14</f>
        <v>0</v>
      </c>
      <c r="J9" s="483">
        <f>transport!J14</f>
        <v>0</v>
      </c>
      <c r="K9" s="483">
        <f>transport!K14</f>
        <v>0</v>
      </c>
      <c r="L9" s="483">
        <f>transport!L14</f>
        <v>0</v>
      </c>
      <c r="M9" s="483">
        <f>transport!M14</f>
        <v>1684.0214964563643</v>
      </c>
      <c r="N9" s="483">
        <f>transport!N14</f>
        <v>0</v>
      </c>
      <c r="O9" s="483">
        <f>transport!O14</f>
        <v>0</v>
      </c>
      <c r="P9" s="483">
        <f>transport!P14</f>
        <v>0</v>
      </c>
      <c r="Q9" s="482">
        <f>SUM(B9:P9)</f>
        <v>33843.170677867725</v>
      </c>
    </row>
    <row r="10" spans="1:17">
      <c r="A10" s="478" t="s">
        <v>561</v>
      </c>
      <c r="B10" s="479">
        <f>transport!B54</f>
        <v>0</v>
      </c>
      <c r="C10" s="479">
        <f>transport!C54</f>
        <v>0</v>
      </c>
      <c r="D10" s="479">
        <f>transport!D54</f>
        <v>0</v>
      </c>
      <c r="E10" s="479">
        <f>transport!E54</f>
        <v>0</v>
      </c>
      <c r="F10" s="479">
        <f>transport!F54</f>
        <v>0</v>
      </c>
      <c r="G10" s="479">
        <f>transport!G54</f>
        <v>587.59420061232072</v>
      </c>
      <c r="H10" s="479">
        <f>transport!H54</f>
        <v>0</v>
      </c>
      <c r="I10" s="479">
        <f>transport!I54</f>
        <v>0</v>
      </c>
      <c r="J10" s="479">
        <f>transport!J54</f>
        <v>0</v>
      </c>
      <c r="K10" s="479">
        <f>transport!K54</f>
        <v>0</v>
      </c>
      <c r="L10" s="479">
        <f>transport!L54</f>
        <v>0</v>
      </c>
      <c r="M10" s="479">
        <f>transport!M54</f>
        <v>33.508784331293839</v>
      </c>
      <c r="N10" s="479">
        <f>transport!N54</f>
        <v>0</v>
      </c>
      <c r="O10" s="479">
        <f>transport!O54</f>
        <v>0</v>
      </c>
      <c r="P10" s="480">
        <f>transport!P54</f>
        <v>0</v>
      </c>
      <c r="Q10" s="478">
        <f t="shared" si="0"/>
        <v>621.1029849436145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23657.28062646688</v>
      </c>
      <c r="C14" s="489">
        <f t="shared" ref="C14:Q14" ca="1" si="1">SUM(C4:C13)</f>
        <v>0</v>
      </c>
      <c r="D14" s="489">
        <f t="shared" ca="1" si="1"/>
        <v>10488.557529150381</v>
      </c>
      <c r="E14" s="489">
        <f t="shared" si="1"/>
        <v>3433.8271619472221</v>
      </c>
      <c r="F14" s="489">
        <f t="shared" ca="1" si="1"/>
        <v>61177.385566117882</v>
      </c>
      <c r="G14" s="489">
        <f t="shared" si="1"/>
        <v>26375.214992348159</v>
      </c>
      <c r="H14" s="489">
        <f t="shared" si="1"/>
        <v>6247.5495019439786</v>
      </c>
      <c r="I14" s="489">
        <f t="shared" si="1"/>
        <v>0</v>
      </c>
      <c r="J14" s="489">
        <f t="shared" si="1"/>
        <v>3026.9516189411461</v>
      </c>
      <c r="K14" s="489">
        <f t="shared" si="1"/>
        <v>0</v>
      </c>
      <c r="L14" s="489">
        <f t="shared" ca="1" si="1"/>
        <v>0</v>
      </c>
      <c r="M14" s="489">
        <f t="shared" si="1"/>
        <v>1717.5302807876581</v>
      </c>
      <c r="N14" s="489">
        <f t="shared" ca="1" si="1"/>
        <v>9447.7561825805406</v>
      </c>
      <c r="O14" s="489">
        <f t="shared" si="1"/>
        <v>123.50333333333334</v>
      </c>
      <c r="P14" s="490">
        <f t="shared" si="1"/>
        <v>438.5333333333333</v>
      </c>
      <c r="Q14" s="490">
        <f t="shared" ca="1" si="1"/>
        <v>146134.0901269505</v>
      </c>
    </row>
    <row r="16" spans="1:17">
      <c r="A16" s="492" t="s">
        <v>566</v>
      </c>
      <c r="B16" s="842">
        <f ca="1">huishoudens!B10</f>
        <v>0.18671163004077967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2655.8366716819041</v>
      </c>
      <c r="C21" s="479">
        <f t="shared" ref="C21:C30" ca="1" si="3">C4*$C$16</f>
        <v>0</v>
      </c>
      <c r="D21" s="479">
        <f t="shared" ref="D21:D30" si="4">D4*$D$16</f>
        <v>1801.7490337440004</v>
      </c>
      <c r="E21" s="479">
        <f t="shared" ref="E21:E30" si="5">E4*$E$16</f>
        <v>713.86536651707718</v>
      </c>
      <c r="F21" s="479">
        <f t="shared" ref="F21:F30" si="6">F4*$F$16</f>
        <v>13097.223504643382</v>
      </c>
      <c r="G21" s="479">
        <f t="shared" ref="G21:G30" si="7">G4*$G$16</f>
        <v>0</v>
      </c>
      <c r="H21" s="479">
        <f t="shared" ref="H21:H30" si="8">H4*$H$16</f>
        <v>0</v>
      </c>
      <c r="I21" s="479">
        <f t="shared" ref="I21:I30" si="9">I4*$I$16</f>
        <v>0</v>
      </c>
      <c r="J21" s="479">
        <f t="shared" ref="J21:J30" si="10">J4*$J$16</f>
        <v>850.44941672843936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19119.123993314803</v>
      </c>
    </row>
    <row r="22" spans="1:17">
      <c r="A22" s="478" t="s">
        <v>156</v>
      </c>
      <c r="B22" s="479">
        <f t="shared" ca="1" si="2"/>
        <v>662.23385064264846</v>
      </c>
      <c r="C22" s="479">
        <f t="shared" ca="1" si="3"/>
        <v>0</v>
      </c>
      <c r="D22" s="479">
        <f t="shared" ca="1" si="4"/>
        <v>244.72876023199998</v>
      </c>
      <c r="E22" s="479">
        <f t="shared" si="5"/>
        <v>7.9398133640482778</v>
      </c>
      <c r="F22" s="479">
        <f t="shared" ca="1" si="6"/>
        <v>131.76681642905618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1046.669240667753</v>
      </c>
    </row>
    <row r="23" spans="1:17">
      <c r="A23" s="478" t="s">
        <v>194</v>
      </c>
      <c r="B23" s="479">
        <f t="shared" ca="1" si="2"/>
        <v>123.91808160687494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123.91808160687494</v>
      </c>
    </row>
    <row r="24" spans="1:17">
      <c r="A24" s="478" t="s">
        <v>112</v>
      </c>
      <c r="B24" s="479">
        <f t="shared" ca="1" si="2"/>
        <v>741.20832051260061</v>
      </c>
      <c r="C24" s="479">
        <f t="shared" ca="1" si="3"/>
        <v>0</v>
      </c>
      <c r="D24" s="479">
        <f t="shared" si="4"/>
        <v>17.191676216000001</v>
      </c>
      <c r="E24" s="479">
        <f t="shared" si="5"/>
        <v>8.3467842549230902</v>
      </c>
      <c r="F24" s="479">
        <f t="shared" si="6"/>
        <v>2689.2628554609005</v>
      </c>
      <c r="G24" s="479">
        <f t="shared" si="7"/>
        <v>0</v>
      </c>
      <c r="H24" s="479">
        <f t="shared" si="8"/>
        <v>0</v>
      </c>
      <c r="I24" s="479">
        <f t="shared" si="9"/>
        <v>0</v>
      </c>
      <c r="J24" s="479">
        <f t="shared" si="10"/>
        <v>215.44972654484184</v>
      </c>
      <c r="K24" s="479">
        <f t="shared" si="11"/>
        <v>0</v>
      </c>
      <c r="L24" s="479">
        <f t="shared" si="12"/>
        <v>0</v>
      </c>
      <c r="M24" s="479">
        <f t="shared" si="13"/>
        <v>0</v>
      </c>
      <c r="N24" s="479">
        <f t="shared" si="14"/>
        <v>0</v>
      </c>
      <c r="O24" s="479">
        <f t="shared" si="15"/>
        <v>0</v>
      </c>
      <c r="P24" s="480">
        <f t="shared" si="16"/>
        <v>0</v>
      </c>
      <c r="Q24" s="478">
        <f t="shared" ca="1" si="17"/>
        <v>3671.4593629892661</v>
      </c>
    </row>
    <row r="25" spans="1:17">
      <c r="A25" s="478" t="s">
        <v>650</v>
      </c>
      <c r="B25" s="479">
        <f t="shared" ca="1" si="2"/>
        <v>233.03609243530738</v>
      </c>
      <c r="C25" s="479">
        <f t="shared" ca="1" si="3"/>
        <v>0</v>
      </c>
      <c r="D25" s="479">
        <f t="shared" si="4"/>
        <v>51.614384712000003</v>
      </c>
      <c r="E25" s="479">
        <f t="shared" si="5"/>
        <v>26.050948439523424</v>
      </c>
      <c r="F25" s="479">
        <f t="shared" si="6"/>
        <v>416.10876962013646</v>
      </c>
      <c r="G25" s="479">
        <f t="shared" si="7"/>
        <v>0</v>
      </c>
      <c r="H25" s="479">
        <f t="shared" si="8"/>
        <v>0</v>
      </c>
      <c r="I25" s="479">
        <f t="shared" si="9"/>
        <v>0</v>
      </c>
      <c r="J25" s="479">
        <f t="shared" si="10"/>
        <v>5.6417298318845015</v>
      </c>
      <c r="K25" s="479">
        <f t="shared" si="11"/>
        <v>0</v>
      </c>
      <c r="L25" s="479">
        <f t="shared" si="12"/>
        <v>0</v>
      </c>
      <c r="M25" s="479">
        <f t="shared" si="13"/>
        <v>0</v>
      </c>
      <c r="N25" s="479">
        <f t="shared" si="14"/>
        <v>0</v>
      </c>
      <c r="O25" s="479">
        <f t="shared" si="15"/>
        <v>0</v>
      </c>
      <c r="P25" s="480">
        <f t="shared" si="16"/>
        <v>0</v>
      </c>
      <c r="Q25" s="478">
        <f t="shared" ca="1" si="17"/>
        <v>732.45192503885175</v>
      </c>
    </row>
    <row r="26" spans="1:17" s="484" customFormat="1">
      <c r="A26" s="482" t="s">
        <v>571</v>
      </c>
      <c r="B26" s="836">
        <f t="shared" ca="1" si="2"/>
        <v>0.85641122045244089</v>
      </c>
      <c r="C26" s="483">
        <f t="shared" ca="1" si="3"/>
        <v>0</v>
      </c>
      <c r="D26" s="483">
        <f t="shared" si="4"/>
        <v>3.4047659843763212</v>
      </c>
      <c r="E26" s="483">
        <f t="shared" si="5"/>
        <v>23.275853186447435</v>
      </c>
      <c r="F26" s="483">
        <f t="shared" si="6"/>
        <v>0</v>
      </c>
      <c r="G26" s="483">
        <f t="shared" si="7"/>
        <v>6885.2947513934687</v>
      </c>
      <c r="H26" s="483">
        <f t="shared" si="8"/>
        <v>1555.6398259840507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8468.4716077687954</v>
      </c>
    </row>
    <row r="27" spans="1:17">
      <c r="A27" s="478" t="s">
        <v>561</v>
      </c>
      <c r="B27" s="479">
        <f t="shared" ca="1" si="2"/>
        <v>0</v>
      </c>
      <c r="C27" s="479">
        <f t="shared" ca="1" si="3"/>
        <v>0</v>
      </c>
      <c r="D27" s="479">
        <f t="shared" si="4"/>
        <v>0</v>
      </c>
      <c r="E27" s="479">
        <f t="shared" si="5"/>
        <v>0</v>
      </c>
      <c r="F27" s="479">
        <f t="shared" si="6"/>
        <v>0</v>
      </c>
      <c r="G27" s="479">
        <f t="shared" si="7"/>
        <v>156.88765156348964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156.88765156348964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4417.0894280997882</v>
      </c>
      <c r="C31" s="489">
        <f t="shared" ca="1" si="18"/>
        <v>0</v>
      </c>
      <c r="D31" s="489">
        <f t="shared" ca="1" si="18"/>
        <v>2118.688620888377</v>
      </c>
      <c r="E31" s="489">
        <f t="shared" si="18"/>
        <v>779.47876576201941</v>
      </c>
      <c r="F31" s="489">
        <f t="shared" ca="1" si="18"/>
        <v>16334.361946153473</v>
      </c>
      <c r="G31" s="489">
        <f t="shared" si="18"/>
        <v>7042.182402956958</v>
      </c>
      <c r="H31" s="489">
        <f t="shared" si="18"/>
        <v>1555.6398259840507</v>
      </c>
      <c r="I31" s="489">
        <f t="shared" si="18"/>
        <v>0</v>
      </c>
      <c r="J31" s="489">
        <f t="shared" si="18"/>
        <v>1071.5408731051657</v>
      </c>
      <c r="K31" s="489">
        <f t="shared" si="18"/>
        <v>0</v>
      </c>
      <c r="L31" s="489">
        <f t="shared" ca="1" si="18"/>
        <v>0</v>
      </c>
      <c r="M31" s="489">
        <f t="shared" si="18"/>
        <v>0</v>
      </c>
      <c r="N31" s="489">
        <f t="shared" ca="1" si="18"/>
        <v>0</v>
      </c>
      <c r="O31" s="489">
        <f t="shared" si="18"/>
        <v>0</v>
      </c>
      <c r="P31" s="490">
        <f t="shared" si="18"/>
        <v>0</v>
      </c>
      <c r="Q31" s="490">
        <f t="shared" ca="1" si="18"/>
        <v>33318.981862949833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0.18671163004077967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0.18671163004077967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0.18671163004077967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3176</v>
      </c>
      <c r="C9" s="342">
        <v>3241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3087</v>
      </c>
    </row>
    <row r="15" spans="1:6">
      <c r="A15" s="348" t="s">
        <v>184</v>
      </c>
      <c r="B15" s="334">
        <v>12</v>
      </c>
    </row>
    <row r="16" spans="1:6">
      <c r="A16" s="348" t="s">
        <v>6</v>
      </c>
      <c r="B16" s="334">
        <v>539</v>
      </c>
    </row>
    <row r="17" spans="1:6">
      <c r="A17" s="348" t="s">
        <v>7</v>
      </c>
      <c r="B17" s="334">
        <v>673</v>
      </c>
    </row>
    <row r="18" spans="1:6">
      <c r="A18" s="348" t="s">
        <v>8</v>
      </c>
      <c r="B18" s="334">
        <v>933</v>
      </c>
    </row>
    <row r="19" spans="1:6">
      <c r="A19" s="348" t="s">
        <v>9</v>
      </c>
      <c r="B19" s="334">
        <v>770</v>
      </c>
    </row>
    <row r="20" spans="1:6">
      <c r="A20" s="348" t="s">
        <v>10</v>
      </c>
      <c r="B20" s="334">
        <v>455</v>
      </c>
    </row>
    <row r="21" spans="1:6">
      <c r="A21" s="348" t="s">
        <v>11</v>
      </c>
      <c r="B21" s="334">
        <v>4190</v>
      </c>
    </row>
    <row r="22" spans="1:6">
      <c r="A22" s="348" t="s">
        <v>12</v>
      </c>
      <c r="B22" s="334">
        <v>9484</v>
      </c>
    </row>
    <row r="23" spans="1:6">
      <c r="A23" s="348" t="s">
        <v>13</v>
      </c>
      <c r="B23" s="334">
        <v>212</v>
      </c>
    </row>
    <row r="24" spans="1:6">
      <c r="A24" s="348" t="s">
        <v>14</v>
      </c>
      <c r="B24" s="334">
        <v>24</v>
      </c>
    </row>
    <row r="25" spans="1:6">
      <c r="A25" s="348" t="s">
        <v>15</v>
      </c>
      <c r="B25" s="334">
        <v>1176</v>
      </c>
    </row>
    <row r="26" spans="1:6">
      <c r="A26" s="348" t="s">
        <v>16</v>
      </c>
      <c r="B26" s="334">
        <v>220</v>
      </c>
    </row>
    <row r="27" spans="1:6">
      <c r="A27" s="348" t="s">
        <v>17</v>
      </c>
      <c r="B27" s="334">
        <v>559</v>
      </c>
    </row>
    <row r="28" spans="1:6" s="356" customFormat="1">
      <c r="A28" s="355" t="s">
        <v>18</v>
      </c>
      <c r="B28" s="355">
        <v>0</v>
      </c>
    </row>
    <row r="29" spans="1:6">
      <c r="A29" s="355" t="s">
        <v>828</v>
      </c>
      <c r="B29" s="355">
        <v>132</v>
      </c>
      <c r="C29" s="356"/>
      <c r="D29" s="356"/>
      <c r="E29" s="356"/>
      <c r="F29" s="356"/>
    </row>
    <row r="30" spans="1:6">
      <c r="A30" s="341" t="s">
        <v>829</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544</v>
      </c>
      <c r="D39" s="334">
        <v>9888636</v>
      </c>
      <c r="E39" s="334">
        <v>3037</v>
      </c>
      <c r="F39" s="334">
        <v>11743837</v>
      </c>
    </row>
    <row r="40" spans="1:6">
      <c r="A40" s="348" t="s">
        <v>30</v>
      </c>
      <c r="B40" s="348" t="s">
        <v>29</v>
      </c>
      <c r="C40" s="334">
        <v>0</v>
      </c>
      <c r="D40" s="334">
        <v>0</v>
      </c>
      <c r="E40" s="334">
        <v>0</v>
      </c>
      <c r="F40" s="334">
        <v>0</v>
      </c>
    </row>
    <row r="41" spans="1:6">
      <c r="A41" s="348" t="s">
        <v>32</v>
      </c>
      <c r="B41" s="348" t="s">
        <v>33</v>
      </c>
      <c r="C41" s="334">
        <v>10</v>
      </c>
      <c r="D41" s="334">
        <v>209458</v>
      </c>
      <c r="E41" s="334">
        <v>52</v>
      </c>
      <c r="F41" s="334">
        <v>370531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48737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28272</v>
      </c>
    </row>
    <row r="48" spans="1:6">
      <c r="A48" s="348" t="s">
        <v>32</v>
      </c>
      <c r="B48" s="348" t="s">
        <v>29</v>
      </c>
      <c r="C48" s="334">
        <v>2</v>
      </c>
      <c r="D48" s="334">
        <v>73820</v>
      </c>
      <c r="E48" s="334">
        <v>2</v>
      </c>
      <c r="F48" s="334">
        <v>95040</v>
      </c>
    </row>
    <row r="49" spans="1:6">
      <c r="A49" s="348" t="s">
        <v>32</v>
      </c>
      <c r="B49" s="348" t="s">
        <v>40</v>
      </c>
      <c r="C49" s="334">
        <v>0</v>
      </c>
      <c r="D49" s="334">
        <v>0</v>
      </c>
      <c r="E49" s="334">
        <v>3</v>
      </c>
      <c r="F49" s="334">
        <v>56290</v>
      </c>
    </row>
    <row r="50" spans="1:6">
      <c r="A50" s="348" t="s">
        <v>32</v>
      </c>
      <c r="B50" s="348" t="s">
        <v>41</v>
      </c>
      <c r="C50" s="334">
        <v>0</v>
      </c>
      <c r="D50" s="334">
        <v>0</v>
      </c>
      <c r="E50" s="334">
        <v>11</v>
      </c>
      <c r="F50" s="334">
        <v>649237</v>
      </c>
    </row>
    <row r="51" spans="1:6">
      <c r="A51" s="348" t="s">
        <v>42</v>
      </c>
      <c r="B51" s="348" t="s">
        <v>43</v>
      </c>
      <c r="C51" s="334">
        <v>0</v>
      </c>
      <c r="D51" s="334">
        <v>0</v>
      </c>
      <c r="E51" s="334">
        <v>130</v>
      </c>
      <c r="F51" s="334">
        <v>3969802.6328125</v>
      </c>
    </row>
    <row r="52" spans="1:6">
      <c r="A52" s="348" t="s">
        <v>42</v>
      </c>
      <c r="B52" s="348" t="s">
        <v>29</v>
      </c>
      <c r="C52" s="334">
        <v>2</v>
      </c>
      <c r="D52" s="334">
        <v>94354</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23</v>
      </c>
      <c r="F54" s="334">
        <v>663687</v>
      </c>
    </row>
    <row r="55" spans="1:6">
      <c r="A55" s="348" t="s">
        <v>46</v>
      </c>
      <c r="B55" s="348" t="s">
        <v>29</v>
      </c>
      <c r="C55" s="334">
        <v>0</v>
      </c>
      <c r="D55" s="334">
        <v>0</v>
      </c>
      <c r="E55" s="334">
        <v>0</v>
      </c>
      <c r="F55" s="334">
        <v>0</v>
      </c>
    </row>
    <row r="56" spans="1:6">
      <c r="A56" s="348" t="s">
        <v>48</v>
      </c>
      <c r="B56" s="348" t="s">
        <v>29</v>
      </c>
      <c r="C56" s="334">
        <v>4</v>
      </c>
      <c r="D56" s="334">
        <v>89898</v>
      </c>
      <c r="E56" s="334">
        <v>62</v>
      </c>
      <c r="F56" s="334">
        <v>367523</v>
      </c>
    </row>
    <row r="57" spans="1:6">
      <c r="A57" s="348" t="s">
        <v>49</v>
      </c>
      <c r="B57" s="348" t="s">
        <v>50</v>
      </c>
      <c r="C57" s="334">
        <v>3</v>
      </c>
      <c r="D57" s="334">
        <v>32372</v>
      </c>
      <c r="E57" s="334">
        <v>31</v>
      </c>
      <c r="F57" s="334">
        <v>258971</v>
      </c>
    </row>
    <row r="58" spans="1:6">
      <c r="A58" s="348" t="s">
        <v>49</v>
      </c>
      <c r="B58" s="348" t="s">
        <v>51</v>
      </c>
      <c r="C58" s="334">
        <v>3</v>
      </c>
      <c r="D58" s="334">
        <v>78976</v>
      </c>
      <c r="E58" s="334">
        <v>13</v>
      </c>
      <c r="F58" s="334">
        <v>283476</v>
      </c>
    </row>
    <row r="59" spans="1:6">
      <c r="A59" s="348" t="s">
        <v>49</v>
      </c>
      <c r="B59" s="348" t="s">
        <v>52</v>
      </c>
      <c r="C59" s="334">
        <v>10</v>
      </c>
      <c r="D59" s="334">
        <v>364575</v>
      </c>
      <c r="E59" s="334">
        <v>72</v>
      </c>
      <c r="F59" s="334">
        <v>1764268</v>
      </c>
    </row>
    <row r="60" spans="1:6">
      <c r="A60" s="348" t="s">
        <v>49</v>
      </c>
      <c r="B60" s="348" t="s">
        <v>53</v>
      </c>
      <c r="C60" s="334">
        <v>0</v>
      </c>
      <c r="D60" s="334">
        <v>0</v>
      </c>
      <c r="E60" s="334">
        <v>20</v>
      </c>
      <c r="F60" s="334">
        <v>290794</v>
      </c>
    </row>
    <row r="61" spans="1:6">
      <c r="A61" s="348" t="s">
        <v>49</v>
      </c>
      <c r="B61" s="348" t="s">
        <v>54</v>
      </c>
      <c r="C61" s="334">
        <v>23</v>
      </c>
      <c r="D61" s="334">
        <v>809576</v>
      </c>
      <c r="E61" s="334">
        <v>122</v>
      </c>
      <c r="F61" s="334">
        <v>929933</v>
      </c>
    </row>
    <row r="62" spans="1:6">
      <c r="A62" s="348" t="s">
        <v>49</v>
      </c>
      <c r="B62" s="348" t="s">
        <v>55</v>
      </c>
      <c r="C62" s="334">
        <v>0</v>
      </c>
      <c r="D62" s="334">
        <v>0</v>
      </c>
      <c r="E62" s="334">
        <v>3</v>
      </c>
      <c r="F62" s="334">
        <v>19385</v>
      </c>
    </row>
    <row r="63" spans="1:6">
      <c r="A63" s="348" t="s">
        <v>49</v>
      </c>
      <c r="B63" s="348" t="s">
        <v>29</v>
      </c>
      <c r="C63" s="334">
        <v>2</v>
      </c>
      <c r="D63" s="334">
        <v>57659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40361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7839131</v>
      </c>
      <c r="E73" s="477">
        <v>8127602.7429214306</v>
      </c>
    </row>
    <row r="74" spans="1:6">
      <c r="A74" s="348" t="s">
        <v>64</v>
      </c>
      <c r="B74" s="348" t="s">
        <v>714</v>
      </c>
      <c r="C74" s="1229" t="s">
        <v>716</v>
      </c>
      <c r="D74" s="477">
        <v>1310045.2269351669</v>
      </c>
      <c r="E74" s="477">
        <v>1378932.2017877644</v>
      </c>
    </row>
    <row r="75" spans="1:6">
      <c r="A75" s="348" t="s">
        <v>65</v>
      </c>
      <c r="B75" s="348" t="s">
        <v>713</v>
      </c>
      <c r="C75" s="1229" t="s">
        <v>717</v>
      </c>
      <c r="D75" s="477">
        <v>25628177</v>
      </c>
      <c r="E75" s="477">
        <v>26503338.018591747</v>
      </c>
    </row>
    <row r="76" spans="1:6">
      <c r="A76" s="348" t="s">
        <v>65</v>
      </c>
      <c r="B76" s="348" t="s">
        <v>714</v>
      </c>
      <c r="C76" s="1229" t="s">
        <v>718</v>
      </c>
      <c r="D76" s="477">
        <v>683987.22693516687</v>
      </c>
      <c r="E76" s="477">
        <v>712852.8197141327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165973.54612966633</v>
      </c>
      <c r="C83" s="477">
        <v>164981.45786567865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2480.4331812513942</v>
      </c>
    </row>
    <row r="92" spans="1:6">
      <c r="A92" s="341" t="s">
        <v>69</v>
      </c>
      <c r="B92" s="342">
        <v>1190.0174538137287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23657.28062646688</v>
      </c>
      <c r="C3" s="43" t="s">
        <v>170</v>
      </c>
      <c r="D3" s="43"/>
      <c r="E3" s="154"/>
      <c r="F3" s="43"/>
      <c r="G3" s="43"/>
      <c r="H3" s="43"/>
      <c r="I3" s="43"/>
      <c r="J3" s="43"/>
      <c r="K3" s="96"/>
    </row>
    <row r="4" spans="1:11">
      <c r="A4" s="384" t="s">
        <v>171</v>
      </c>
      <c r="B4" s="49">
        <f>IF(ISERROR('SEAP template'!B69),0,'SEAP template'!B69)</f>
        <v>3670.4506350651227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0.18671163004077967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0.18671163004077967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123.91808160687494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11743.837</v>
      </c>
      <c r="C5" s="17">
        <f>IF(ISERROR('Eigen informatie GS &amp; warmtenet'!B57),0,'Eigen informatie GS &amp; warmtenet'!B57)</f>
        <v>0</v>
      </c>
      <c r="D5" s="30">
        <f>(SUM(HH_hh_gas_kWh,HH_rest_gas_kWh)/1000)*0.902</f>
        <v>8919.549672000001</v>
      </c>
      <c r="E5" s="17">
        <f>B46*B57</f>
        <v>3144.7813502954941</v>
      </c>
      <c r="F5" s="17">
        <f>B51*B62</f>
        <v>49053.271552971462</v>
      </c>
      <c r="G5" s="18"/>
      <c r="H5" s="17"/>
      <c r="I5" s="17"/>
      <c r="J5" s="17">
        <f>B50*B61+C50*C61</f>
        <v>2402.3994822837271</v>
      </c>
      <c r="K5" s="17"/>
      <c r="L5" s="17"/>
      <c r="M5" s="17"/>
      <c r="N5" s="17">
        <f>B48*B59+C48*C59</f>
        <v>8745.6092220897717</v>
      </c>
      <c r="O5" s="17">
        <f>B69*B70*B71</f>
        <v>123.50333333333334</v>
      </c>
      <c r="P5" s="17">
        <f>B77*B78*B79/1000-B77*B78*B79/1000/B80</f>
        <v>438.5333333333333</v>
      </c>
    </row>
    <row r="6" spans="1:16">
      <c r="A6" s="16" t="s">
        <v>631</v>
      </c>
      <c r="B6" s="844">
        <f>kWh_PV_kleiner_dan_10kW</f>
        <v>2480.4331812513942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14224.270181251393</v>
      </c>
      <c r="C8" s="21">
        <f>C5</f>
        <v>0</v>
      </c>
      <c r="D8" s="21">
        <f>D5</f>
        <v>8919.549672000001</v>
      </c>
      <c r="E8" s="21">
        <f>E5</f>
        <v>3144.7813502954941</v>
      </c>
      <c r="F8" s="21">
        <f>F5</f>
        <v>49053.271552971462</v>
      </c>
      <c r="G8" s="21"/>
      <c r="H8" s="21"/>
      <c r="I8" s="21"/>
      <c r="J8" s="21">
        <f>J5</f>
        <v>2402.3994822837271</v>
      </c>
      <c r="K8" s="21"/>
      <c r="L8" s="21">
        <f>L5</f>
        <v>0</v>
      </c>
      <c r="M8" s="21">
        <f>M5</f>
        <v>0</v>
      </c>
      <c r="N8" s="21">
        <f>N5</f>
        <v>8745.6092220897717</v>
      </c>
      <c r="O8" s="21">
        <f>O5</f>
        <v>123.50333333333334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0.18671163004077967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2655.8366716819041</v>
      </c>
      <c r="C12" s="23">
        <f ca="1">C10*C8</f>
        <v>0</v>
      </c>
      <c r="D12" s="23">
        <f>D8*D10</f>
        <v>1801.7490337440004</v>
      </c>
      <c r="E12" s="23">
        <f>E10*E8</f>
        <v>713.86536651707718</v>
      </c>
      <c r="F12" s="23">
        <f>F10*F8</f>
        <v>13097.223504643382</v>
      </c>
      <c r="G12" s="23"/>
      <c r="H12" s="23"/>
      <c r="I12" s="23"/>
      <c r="J12" s="23">
        <f>J10*J8</f>
        <v>850.44941672843936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3176</v>
      </c>
      <c r="C28" s="36"/>
      <c r="D28" s="228"/>
    </row>
    <row r="29" spans="1:7" s="15" customFormat="1">
      <c r="A29" s="230" t="s">
        <v>741</v>
      </c>
      <c r="B29" s="37">
        <f>SUM(HH_hh_gas_aantal,HH_rest_gas_aantal)</f>
        <v>544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v>
      </c>
      <c r="C32" s="167">
        <f>IF(ISERROR(B32/SUM($B$32,$B$34,$B$35,$B$36,$B$38,$B$39)*100),0,B32/SUM($B$32,$B$34,$B$35,$B$36,$B$38,$B$39)*100)</f>
        <v>17.253409451316205</v>
      </c>
      <c r="D32" s="233"/>
      <c r="G32" s="15"/>
    </row>
    <row r="33" spans="1:7">
      <c r="A33" s="171" t="s">
        <v>72</v>
      </c>
      <c r="B33" s="34" t="s">
        <v>111</v>
      </c>
      <c r="C33" s="167"/>
      <c r="D33" s="233"/>
      <c r="G33" s="15"/>
    </row>
    <row r="34" spans="1:7">
      <c r="A34" s="171" t="s">
        <v>73</v>
      </c>
      <c r="B34" s="33">
        <f>IF((($B$28-$B$32-$B$39-$B$77-$B$38)*C20/100)&lt;0,0,($B$28-$B$32-$B$39-$B$77-$B$38)*C20/100)</f>
        <v>210.76923076923083</v>
      </c>
      <c r="C34" s="167">
        <f>IF(ISERROR(B34/SUM($B$32,$B$34,$B$35,$B$36,$B$38,$B$39)*100),0,B34/SUM($B$32,$B$34,$B$35,$B$36,$B$38,$B$39)*100)</f>
        <v>6.6847202908097314</v>
      </c>
      <c r="D34" s="233"/>
      <c r="G34" s="15"/>
    </row>
    <row r="35" spans="1:7">
      <c r="A35" s="171" t="s">
        <v>74</v>
      </c>
      <c r="B35" s="33">
        <f>IF((($B$28-$B$32-$B$39-$B$77-$B$38)*C21/100)&lt;0,0,($B$28-$B$32-$B$39-$B$77-$B$38)*C21/100)</f>
        <v>182.66666666666663</v>
      </c>
      <c r="C35" s="167">
        <f>IF(ISERROR(B35/SUM($B$32,$B$34,$B$35,$B$36,$B$38,$B$39)*100),0,B35/SUM($B$32,$B$34,$B$35,$B$36,$B$38,$B$39)*100)</f>
        <v>5.7934242520350976</v>
      </c>
      <c r="D35" s="233"/>
      <c r="G35" s="15"/>
    </row>
    <row r="36" spans="1:7">
      <c r="A36" s="171" t="s">
        <v>75</v>
      </c>
      <c r="B36" s="33">
        <f>IF((($B$28-$B$32-$B$39-$B$77-$B$38)*C22/100)&lt;0,0,($B$28-$B$32-$B$39-$B$77-$B$38)*C22/100)</f>
        <v>154.56410256410257</v>
      </c>
      <c r="C36" s="167">
        <f>IF(ISERROR(B36/SUM($B$32,$B$34,$B$35,$B$36,$B$38,$B$39)*100),0,B36/SUM($B$32,$B$34,$B$35,$B$36,$B$38,$B$39)*100)</f>
        <v>4.9021282132604682</v>
      </c>
      <c r="D36" s="233"/>
      <c r="G36" s="15"/>
    </row>
    <row r="37" spans="1:7">
      <c r="A37" s="171" t="s">
        <v>76</v>
      </c>
      <c r="B37" s="34" t="s">
        <v>111</v>
      </c>
      <c r="C37" s="167"/>
      <c r="D37" s="173"/>
      <c r="G37" s="15"/>
    </row>
    <row r="38" spans="1:7">
      <c r="A38" s="171" t="s">
        <v>77</v>
      </c>
      <c r="B38" s="33">
        <f>IF((B24-(B29-B18)*0.1)&lt;0,0,B24-(B29-B18)*0.1)</f>
        <v>68.3</v>
      </c>
      <c r="C38" s="167">
        <f>IF(ISERROR(B38/SUM($B$32,$B$34,$B$35,$B$36,$B$38,$B$39)*100),0,B38/SUM($B$32,$B$34,$B$35,$B$36,$B$38,$B$39)*100)</f>
        <v>2.1661909292737076</v>
      </c>
      <c r="D38" s="234"/>
      <c r="G38" s="15"/>
    </row>
    <row r="39" spans="1:7">
      <c r="A39" s="171" t="s">
        <v>78</v>
      </c>
      <c r="B39" s="33">
        <f>IF((B25-(B29-B18))&lt;0,0,B25-(B29-B18)*0.9)</f>
        <v>1992.7</v>
      </c>
      <c r="C39" s="167">
        <f>IF(ISERROR(B39/SUM($B$32,$B$34,$B$35,$B$36,$B$38,$B$39)*100),0,B39/SUM($B$32,$B$34,$B$35,$B$36,$B$38,$B$39)*100)</f>
        <v>63.200126863304796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v>
      </c>
      <c r="C44" s="34" t="s">
        <v>111</v>
      </c>
      <c r="D44" s="174"/>
    </row>
    <row r="45" spans="1:7">
      <c r="A45" s="171" t="s">
        <v>72</v>
      </c>
      <c r="B45" s="33" t="str">
        <f t="shared" si="0"/>
        <v>-</v>
      </c>
      <c r="C45" s="34" t="s">
        <v>111</v>
      </c>
      <c r="D45" s="174"/>
    </row>
    <row r="46" spans="1:7">
      <c r="A46" s="171" t="s">
        <v>73</v>
      </c>
      <c r="B46" s="33">
        <f t="shared" si="0"/>
        <v>210.76923076923083</v>
      </c>
      <c r="C46" s="34" t="s">
        <v>111</v>
      </c>
      <c r="D46" s="174"/>
    </row>
    <row r="47" spans="1:7">
      <c r="A47" s="171" t="s">
        <v>74</v>
      </c>
      <c r="B47" s="33">
        <f t="shared" si="0"/>
        <v>182.66666666666663</v>
      </c>
      <c r="C47" s="34" t="s">
        <v>111</v>
      </c>
      <c r="D47" s="174"/>
    </row>
    <row r="48" spans="1:7">
      <c r="A48" s="171" t="s">
        <v>75</v>
      </c>
      <c r="B48" s="33">
        <f t="shared" si="0"/>
        <v>154.56410256410257</v>
      </c>
      <c r="C48" s="33">
        <f>B48*10</f>
        <v>1545.6410256410256</v>
      </c>
      <c r="D48" s="234"/>
    </row>
    <row r="49" spans="1:6">
      <c r="A49" s="171" t="s">
        <v>76</v>
      </c>
      <c r="B49" s="33" t="str">
        <f t="shared" si="0"/>
        <v>-</v>
      </c>
      <c r="C49" s="34" t="s">
        <v>111</v>
      </c>
      <c r="D49" s="234"/>
    </row>
    <row r="50" spans="1:6">
      <c r="A50" s="171" t="s">
        <v>77</v>
      </c>
      <c r="B50" s="33">
        <f t="shared" si="0"/>
        <v>68.3</v>
      </c>
      <c r="C50" s="33">
        <f>B50*2</f>
        <v>136.6</v>
      </c>
      <c r="D50" s="234"/>
    </row>
    <row r="51" spans="1:6">
      <c r="A51" s="171" t="s">
        <v>78</v>
      </c>
      <c r="B51" s="33">
        <f t="shared" si="0"/>
        <v>1992.7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3546.8270000000002</v>
      </c>
      <c r="C5" s="17">
        <f>IF(ISERROR('Eigen informatie GS &amp; warmtenet'!B58),0,'Eigen informatie GS &amp; warmtenet'!B58)</f>
        <v>0</v>
      </c>
      <c r="D5" s="30">
        <f>SUM(D6:D12)</f>
        <v>1211.5285159999999</v>
      </c>
      <c r="E5" s="17">
        <f>SUM(E6:E12)</f>
        <v>34.977151383472588</v>
      </c>
      <c r="F5" s="17">
        <f>SUM(F6:F12)</f>
        <v>493.50867576425537</v>
      </c>
      <c r="G5" s="18"/>
      <c r="H5" s="17"/>
      <c r="I5" s="17"/>
      <c r="J5" s="17">
        <f>SUM(J6:J12)</f>
        <v>0</v>
      </c>
      <c r="K5" s="17"/>
      <c r="L5" s="17"/>
      <c r="M5" s="17"/>
      <c r="N5" s="17">
        <f>SUM(N6:N12)</f>
        <v>208.42444481800919</v>
      </c>
      <c r="O5" s="17">
        <f>B38*B39*B40</f>
        <v>0</v>
      </c>
      <c r="P5" s="17">
        <f>B46*B47*B48/1000-B46*B47*B48/1000/B49</f>
        <v>0</v>
      </c>
      <c r="R5" s="32"/>
    </row>
    <row r="6" spans="1:18">
      <c r="A6" s="32" t="s">
        <v>54</v>
      </c>
      <c r="B6" s="37">
        <f>B26</f>
        <v>929.93299999999999</v>
      </c>
      <c r="C6" s="33"/>
      <c r="D6" s="37">
        <f>IF(ISERROR(TER_kantoor_gas_kWh/1000),0,TER_kantoor_gas_kWh/1000)*0.902</f>
        <v>730.23755200000005</v>
      </c>
      <c r="E6" s="33">
        <f>$C$26*'E Balans VL '!I12/100/3.6*1000000</f>
        <v>2.6941523415173547</v>
      </c>
      <c r="F6" s="33">
        <f>$C$26*('E Balans VL '!L12+'E Balans VL '!N12)/100/3.6*1000000</f>
        <v>105.24792758752633</v>
      </c>
      <c r="G6" s="34"/>
      <c r="H6" s="33"/>
      <c r="I6" s="33"/>
      <c r="J6" s="33">
        <f>$C$26*('E Balans VL '!D12+'E Balans VL '!E12)/100/3.6*1000000</f>
        <v>0</v>
      </c>
      <c r="K6" s="33"/>
      <c r="L6" s="33"/>
      <c r="M6" s="33"/>
      <c r="N6" s="33">
        <f>$C$26*'E Balans VL '!Y12/100/3.6*1000000</f>
        <v>9.30794412477203</v>
      </c>
      <c r="O6" s="33"/>
      <c r="P6" s="33"/>
      <c r="R6" s="32"/>
    </row>
    <row r="7" spans="1:18">
      <c r="A7" s="32" t="s">
        <v>53</v>
      </c>
      <c r="B7" s="37">
        <f t="shared" ref="B7:B12" si="0">B27</f>
        <v>290.79399999999998</v>
      </c>
      <c r="C7" s="33"/>
      <c r="D7" s="37">
        <f>IF(ISERROR(TER_horeca_gas_kWh/1000),0,TER_horeca_gas_kWh/1000)*0.902</f>
        <v>0</v>
      </c>
      <c r="E7" s="33">
        <f>$C$27*'E Balans VL '!I9/100/3.6*1000000</f>
        <v>12.206719657621372</v>
      </c>
      <c r="F7" s="33">
        <f>$C$27*('E Balans VL '!L9+'E Balans VL '!N9)/100/3.6*1000000</f>
        <v>62.483054192610474</v>
      </c>
      <c r="G7" s="34"/>
      <c r="H7" s="33"/>
      <c r="I7" s="33"/>
      <c r="J7" s="33">
        <f>$C$27*('E Balans VL '!D9+'E Balans VL '!E9)/100/3.6*1000000</f>
        <v>0</v>
      </c>
      <c r="K7" s="33"/>
      <c r="L7" s="33"/>
      <c r="M7" s="33"/>
      <c r="N7" s="33">
        <f>$C$27*'E Balans VL '!Y9/100/3.6*1000000</f>
        <v>7.4935070714213681E-2</v>
      </c>
      <c r="O7" s="33"/>
      <c r="P7" s="33"/>
      <c r="R7" s="32"/>
    </row>
    <row r="8" spans="1:18">
      <c r="A8" s="6" t="s">
        <v>52</v>
      </c>
      <c r="B8" s="37">
        <f t="shared" si="0"/>
        <v>1764.268</v>
      </c>
      <c r="C8" s="33"/>
      <c r="D8" s="37">
        <f>IF(ISERROR(TER_handel_gas_kWh/1000),0,TER_handel_gas_kWh/1000)*0.902</f>
        <v>328.84665000000001</v>
      </c>
      <c r="E8" s="33">
        <f>$C$28*'E Balans VL '!I13/100/3.6*1000000</f>
        <v>18.949706678515977</v>
      </c>
      <c r="F8" s="33">
        <f>$C$28*('E Balans VL '!L13+'E Balans VL '!N13)/100/3.6*1000000</f>
        <v>228.39906162480656</v>
      </c>
      <c r="G8" s="34"/>
      <c r="H8" s="33"/>
      <c r="I8" s="33"/>
      <c r="J8" s="33">
        <f>$C$28*('E Balans VL '!D13+'E Balans VL '!E13)/100/3.6*1000000</f>
        <v>0</v>
      </c>
      <c r="K8" s="33"/>
      <c r="L8" s="33"/>
      <c r="M8" s="33"/>
      <c r="N8" s="33">
        <f>$C$28*'E Balans VL '!Y13/100/3.6*1000000</f>
        <v>14.311838349221325</v>
      </c>
      <c r="O8" s="33"/>
      <c r="P8" s="33"/>
      <c r="R8" s="32"/>
    </row>
    <row r="9" spans="1:18">
      <c r="A9" s="32" t="s">
        <v>51</v>
      </c>
      <c r="B9" s="37">
        <f t="shared" si="0"/>
        <v>283.476</v>
      </c>
      <c r="C9" s="33"/>
      <c r="D9" s="37">
        <f>IF(ISERROR(TER_gezond_gas_kWh/1000),0,TER_gezond_gas_kWh/1000)*0.902</f>
        <v>71.236351999999997</v>
      </c>
      <c r="E9" s="33">
        <f>$C$29*'E Balans VL '!I10/100/3.6*1000000</f>
        <v>0.22566523073647787</v>
      </c>
      <c r="F9" s="33">
        <f>$C$29*('E Balans VL '!L10+'E Balans VL '!N10)/100/3.6*1000000</f>
        <v>34.460604397182159</v>
      </c>
      <c r="G9" s="34"/>
      <c r="H9" s="33"/>
      <c r="I9" s="33"/>
      <c r="J9" s="33">
        <f>$C$29*('E Balans VL '!D10+'E Balans VL '!E10)/100/3.6*1000000</f>
        <v>0</v>
      </c>
      <c r="K9" s="33"/>
      <c r="L9" s="33"/>
      <c r="M9" s="33"/>
      <c r="N9" s="33">
        <f>$C$29*'E Balans VL '!Y10/100/3.6*1000000</f>
        <v>2.2898440259682813</v>
      </c>
      <c r="O9" s="33"/>
      <c r="P9" s="33"/>
      <c r="R9" s="32"/>
    </row>
    <row r="10" spans="1:18">
      <c r="A10" s="32" t="s">
        <v>50</v>
      </c>
      <c r="B10" s="37">
        <f t="shared" si="0"/>
        <v>258.971</v>
      </c>
      <c r="C10" s="33"/>
      <c r="D10" s="37">
        <f>IF(ISERROR(TER_ander_gas_kWh/1000),0,TER_ander_gas_kWh/1000)*0.902</f>
        <v>29.199543999999999</v>
      </c>
      <c r="E10" s="33">
        <f>$C$30*'E Balans VL '!I14/100/3.6*1000000</f>
        <v>0.88750722159242212</v>
      </c>
      <c r="F10" s="33">
        <f>$C$30*('E Balans VL '!L14+'E Balans VL '!N14)/100/3.6*1000000</f>
        <v>57.843598058172851</v>
      </c>
      <c r="G10" s="34"/>
      <c r="H10" s="33"/>
      <c r="I10" s="33"/>
      <c r="J10" s="33">
        <f>$C$30*('E Balans VL '!D14+'E Balans VL '!E14)/100/3.6*1000000</f>
        <v>0</v>
      </c>
      <c r="K10" s="33"/>
      <c r="L10" s="33"/>
      <c r="M10" s="33"/>
      <c r="N10" s="33">
        <f>$C$30*'E Balans VL '!Y14/100/3.6*1000000</f>
        <v>182.42058713091885</v>
      </c>
      <c r="O10" s="33"/>
      <c r="P10" s="33"/>
      <c r="R10" s="32"/>
    </row>
    <row r="11" spans="1:18">
      <c r="A11" s="32" t="s">
        <v>55</v>
      </c>
      <c r="B11" s="37">
        <f t="shared" si="0"/>
        <v>19.385000000000002</v>
      </c>
      <c r="C11" s="33"/>
      <c r="D11" s="37">
        <f>IF(ISERROR(TER_onderwijs_gas_kWh/1000),0,TER_onderwijs_gas_kWh/1000)*0.902</f>
        <v>0</v>
      </c>
      <c r="E11" s="33">
        <f>$C$31*'E Balans VL '!I11/100/3.6*1000000</f>
        <v>1.3400253488985509E-2</v>
      </c>
      <c r="F11" s="33">
        <f>$C$31*('E Balans VL '!L11+'E Balans VL '!N11)/100/3.6*1000000</f>
        <v>5.0744299039569833</v>
      </c>
      <c r="G11" s="34"/>
      <c r="H11" s="33"/>
      <c r="I11" s="33"/>
      <c r="J11" s="33">
        <f>$C$31*('E Balans VL '!D11+'E Balans VL '!E11)/100/3.6*1000000</f>
        <v>0</v>
      </c>
      <c r="K11" s="33"/>
      <c r="L11" s="33"/>
      <c r="M11" s="33"/>
      <c r="N11" s="33">
        <f>$C$31*'E Balans VL '!Y11/100/3.6*1000000</f>
        <v>1.9296116414498309E-2</v>
      </c>
      <c r="O11" s="33"/>
      <c r="P11" s="33"/>
      <c r="R11" s="32"/>
    </row>
    <row r="12" spans="1:18">
      <c r="A12" s="32" t="s">
        <v>260</v>
      </c>
      <c r="B12" s="37">
        <f t="shared" si="0"/>
        <v>0</v>
      </c>
      <c r="C12" s="33"/>
      <c r="D12" s="37">
        <f>IF(ISERROR(TER_rest_gas_kWh/1000),0,TER_rest_gas_kWh/1000)*0.902</f>
        <v>52.008417999999999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3546.8270000000002</v>
      </c>
      <c r="C16" s="21">
        <f t="shared" ca="1" si="1"/>
        <v>0</v>
      </c>
      <c r="D16" s="21">
        <f t="shared" ca="1" si="1"/>
        <v>1211.5285159999999</v>
      </c>
      <c r="E16" s="21">
        <f t="shared" si="1"/>
        <v>34.977151383472588</v>
      </c>
      <c r="F16" s="21">
        <f t="shared" ca="1" si="1"/>
        <v>493.50867576425537</v>
      </c>
      <c r="G16" s="21">
        <f t="shared" si="1"/>
        <v>0</v>
      </c>
      <c r="H16" s="21">
        <f t="shared" si="1"/>
        <v>0</v>
      </c>
      <c r="I16" s="21">
        <f t="shared" si="1"/>
        <v>0</v>
      </c>
      <c r="J16" s="21">
        <f t="shared" si="1"/>
        <v>0</v>
      </c>
      <c r="K16" s="21">
        <f t="shared" si="1"/>
        <v>0</v>
      </c>
      <c r="L16" s="21">
        <f t="shared" ca="1" si="1"/>
        <v>0</v>
      </c>
      <c r="M16" s="21">
        <f t="shared" si="1"/>
        <v>0</v>
      </c>
      <c r="N16" s="21">
        <f t="shared" ca="1" si="1"/>
        <v>208.42444481800919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0.18671163004077967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662.23385064264846</v>
      </c>
      <c r="C20" s="23">
        <f t="shared" ref="C20:P20" ca="1" si="2">C16*C18</f>
        <v>0</v>
      </c>
      <c r="D20" s="23">
        <f t="shared" ca="1" si="2"/>
        <v>244.72876023199998</v>
      </c>
      <c r="E20" s="23">
        <f t="shared" si="2"/>
        <v>7.9398133640482778</v>
      </c>
      <c r="F20" s="23">
        <f t="shared" ca="1" si="2"/>
        <v>131.76681642905618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929.93299999999999</v>
      </c>
      <c r="C26" s="39">
        <f>IF(ISERROR(B26*3.6/1000000/'E Balans VL '!Z12*100),0,B26*3.6/1000000/'E Balans VL '!Z12*100)</f>
        <v>2.0427053455206571E-2</v>
      </c>
      <c r="D26" s="237" t="s">
        <v>692</v>
      </c>
      <c r="F26" s="6"/>
    </row>
    <row r="27" spans="1:18">
      <c r="A27" s="231" t="s">
        <v>53</v>
      </c>
      <c r="B27" s="33">
        <f>IF(ISERROR(TER_horeca_ele_kWh/1000),0,TER_horeca_ele_kWh/1000)</f>
        <v>290.79399999999998</v>
      </c>
      <c r="C27" s="39">
        <f>IF(ISERROR(B27*3.6/1000000/'E Balans VL '!Z9*100),0,B27*3.6/1000000/'E Balans VL '!Z9*100)</f>
        <v>2.3368196568828409E-2</v>
      </c>
      <c r="D27" s="237" t="s">
        <v>692</v>
      </c>
      <c r="F27" s="6"/>
    </row>
    <row r="28" spans="1:18">
      <c r="A28" s="171" t="s">
        <v>52</v>
      </c>
      <c r="B28" s="33">
        <f>IF(ISERROR(TER_handel_ele_kWh/1000),0,TER_handel_ele_kWh/1000)</f>
        <v>1764.268</v>
      </c>
      <c r="C28" s="39">
        <f>IF(ISERROR(B28*3.6/1000000/'E Balans VL '!Z13*100),0,B28*3.6/1000000/'E Balans VL '!Z13*100)</f>
        <v>5.2168172216496014E-2</v>
      </c>
      <c r="D28" s="237" t="s">
        <v>692</v>
      </c>
      <c r="F28" s="6"/>
    </row>
    <row r="29" spans="1:18">
      <c r="A29" s="231" t="s">
        <v>51</v>
      </c>
      <c r="B29" s="33">
        <f>IF(ISERROR(TER_gezond_ele_kWh/1000),0,TER_gezond_ele_kWh/1000)</f>
        <v>283.476</v>
      </c>
      <c r="C29" s="39">
        <f>IF(ISERROR(B29*3.6/1000000/'E Balans VL '!Z10*100),0,B29*3.6/1000000/'E Balans VL '!Z10*100)</f>
        <v>3.1940426494825494E-2</v>
      </c>
      <c r="D29" s="237" t="s">
        <v>692</v>
      </c>
      <c r="F29" s="6"/>
    </row>
    <row r="30" spans="1:18">
      <c r="A30" s="231" t="s">
        <v>50</v>
      </c>
      <c r="B30" s="33">
        <f>IF(ISERROR(TER_ander_ele_kWh/1000),0,TER_ander_ele_kWh/1000)</f>
        <v>258.971</v>
      </c>
      <c r="C30" s="39">
        <f>IF(ISERROR(B30*3.6/1000000/'E Balans VL '!Z14*100),0,B30*3.6/1000000/'E Balans VL '!Z14*100)</f>
        <v>1.9585534039071876E-2</v>
      </c>
      <c r="D30" s="237" t="s">
        <v>692</v>
      </c>
      <c r="F30" s="6"/>
    </row>
    <row r="31" spans="1:18">
      <c r="A31" s="231" t="s">
        <v>55</v>
      </c>
      <c r="B31" s="33">
        <f>IF(ISERROR(TER_onderwijs_ele_kWh/1000),0,TER_onderwijs_ele_kWh/1000)</f>
        <v>19.385000000000002</v>
      </c>
      <c r="C31" s="39">
        <f>IF(ISERROR(B31*3.6/1000000/'E Balans VL '!Z11*100),0,B31*3.6/1000000/'E Balans VL '!Z11*100)</f>
        <v>4.0238759965438393E-3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1248.107</v>
      </c>
      <c r="C5" s="17">
        <f>IF(ISERROR('Eigen informatie GS &amp; warmtenet'!B59),0,'Eigen informatie GS &amp; warmtenet'!B59)</f>
        <v>0</v>
      </c>
      <c r="D5" s="30">
        <f>SUM(D6:D15)</f>
        <v>255.51675599999999</v>
      </c>
      <c r="E5" s="17">
        <f>SUM(E6:E15)</f>
        <v>114.7618873987816</v>
      </c>
      <c r="F5" s="17">
        <f>SUM(F6:F15)</f>
        <v>1558.4598113113725</v>
      </c>
      <c r="G5" s="18"/>
      <c r="H5" s="17"/>
      <c r="I5" s="17"/>
      <c r="J5" s="17">
        <f>SUM(J6:J15)</f>
        <v>15.937089920577689</v>
      </c>
      <c r="K5" s="17"/>
      <c r="L5" s="17"/>
      <c r="M5" s="17"/>
      <c r="N5" s="17">
        <f>SUM(N6:N15)</f>
        <v>493.7225156727601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48.737000000000002</v>
      </c>
      <c r="C8" s="33"/>
      <c r="D8" s="37">
        <f>IF( ISERROR(IND_metaal_Gas_kWH/1000),0,IND_metaal_Gas_kWH/1000)*0.902</f>
        <v>0</v>
      </c>
      <c r="E8" s="33">
        <f>C30*'E Balans VL '!I18/100/3.6*1000000</f>
        <v>1.2197165341543492</v>
      </c>
      <c r="F8" s="33">
        <f>C30*'E Balans VL '!L18/100/3.6*1000000+C30*'E Balans VL '!N18/100/3.6*1000000</f>
        <v>15.274418230305697</v>
      </c>
      <c r="G8" s="34"/>
      <c r="H8" s="33"/>
      <c r="I8" s="33"/>
      <c r="J8" s="40">
        <f>C30*'E Balans VL '!D18/100/3.6*1000000+C30*'E Balans VL '!E18/100/3.6*1000000</f>
        <v>0</v>
      </c>
      <c r="K8" s="33"/>
      <c r="L8" s="33"/>
      <c r="M8" s="33"/>
      <c r="N8" s="33">
        <f>C30*'E Balans VL '!Y18/100/3.6*1000000</f>
        <v>1.2243999235444503</v>
      </c>
      <c r="O8" s="33"/>
      <c r="P8" s="33"/>
      <c r="R8" s="32"/>
    </row>
    <row r="9" spans="1:18">
      <c r="A9" s="6" t="s">
        <v>33</v>
      </c>
      <c r="B9" s="37">
        <f t="shared" si="0"/>
        <v>370.53100000000001</v>
      </c>
      <c r="C9" s="33"/>
      <c r="D9" s="37">
        <f>IF( ISERROR(IND_andere_gas_kWh/1000),0,IND_andere_gas_kWh/1000)*0.902</f>
        <v>188.931116</v>
      </c>
      <c r="E9" s="33">
        <f>C31*'E Balans VL '!I19/100/3.6*1000000</f>
        <v>101.88082765043562</v>
      </c>
      <c r="F9" s="33">
        <f>C31*'E Balans VL '!L19/100/3.6*1000000+C31*'E Balans VL '!N19/100/3.6*1000000</f>
        <v>292.04290502331861</v>
      </c>
      <c r="G9" s="34"/>
      <c r="H9" s="33"/>
      <c r="I9" s="33"/>
      <c r="J9" s="40">
        <f>C31*'E Balans VL '!D19/100/3.6*1000000+C31*'E Balans VL '!E19/100/3.6*1000000</f>
        <v>0</v>
      </c>
      <c r="K9" s="33"/>
      <c r="L9" s="33"/>
      <c r="M9" s="33"/>
      <c r="N9" s="33">
        <f>C31*'E Balans VL '!Y19/100/3.6*1000000</f>
        <v>119.95066508175927</v>
      </c>
      <c r="O9" s="33"/>
      <c r="P9" s="33"/>
      <c r="R9" s="32"/>
    </row>
    <row r="10" spans="1:18">
      <c r="A10" s="6" t="s">
        <v>41</v>
      </c>
      <c r="B10" s="37">
        <f t="shared" si="0"/>
        <v>649.23699999999997</v>
      </c>
      <c r="C10" s="33"/>
      <c r="D10" s="37">
        <f>IF( ISERROR(IND_voed_gas_kWh/1000),0,IND_voed_gas_kWh/1000)*0.902</f>
        <v>0</v>
      </c>
      <c r="E10" s="33">
        <f>C32*'E Balans VL '!I20/100/3.6*1000000</f>
        <v>6.6186135482958433</v>
      </c>
      <c r="F10" s="33">
        <f>C32*'E Balans VL '!L20/100/3.6*1000000+C32*'E Balans VL '!N20/100/3.6*1000000</f>
        <v>1226.4046324145372</v>
      </c>
      <c r="G10" s="34"/>
      <c r="H10" s="33"/>
      <c r="I10" s="33"/>
      <c r="J10" s="40">
        <f>C32*'E Balans VL '!D20/100/3.6*1000000+C32*'E Balans VL '!E20/100/3.6*1000000</f>
        <v>15.538365723081609</v>
      </c>
      <c r="K10" s="33"/>
      <c r="L10" s="33"/>
      <c r="M10" s="33"/>
      <c r="N10" s="33">
        <f>C32*'E Balans VL '!Y20/100/3.6*1000000</f>
        <v>342.22268193225011</v>
      </c>
      <c r="O10" s="33"/>
      <c r="P10" s="33"/>
      <c r="R10" s="32"/>
    </row>
    <row r="11" spans="1:18">
      <c r="A11" s="6" t="s">
        <v>40</v>
      </c>
      <c r="B11" s="37">
        <f t="shared" si="0"/>
        <v>56.29</v>
      </c>
      <c r="C11" s="33"/>
      <c r="D11" s="37">
        <f>IF( ISERROR(IND_textiel_gas_kWh/1000),0,IND_textiel_gas_kWh/1000)*0.902</f>
        <v>0</v>
      </c>
      <c r="E11" s="33">
        <f>C33*'E Balans VL '!I21/100/3.6*1000000</f>
        <v>0.1491960380532123</v>
      </c>
      <c r="F11" s="33">
        <f>C33*'E Balans VL '!L21/100/3.6*1000000+C33*'E Balans VL '!N21/100/3.6*1000000</f>
        <v>2.5139694674588178</v>
      </c>
      <c r="G11" s="34"/>
      <c r="H11" s="33"/>
      <c r="I11" s="33"/>
      <c r="J11" s="40">
        <f>C33*'E Balans VL '!D21/100/3.6*1000000+C33*'E Balans VL '!E21/100/3.6*1000000</f>
        <v>0</v>
      </c>
      <c r="K11" s="33"/>
      <c r="L11" s="33"/>
      <c r="M11" s="33"/>
      <c r="N11" s="33">
        <f>C33*'E Balans VL '!Y21/100/3.6*1000000</f>
        <v>0.53049301153759076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28.271999999999998</v>
      </c>
      <c r="C13" s="33"/>
      <c r="D13" s="37">
        <f>IF( ISERROR(IND_papier_gas_kWh/1000),0,IND_papier_gas_kWh/1000)*0.902</f>
        <v>0</v>
      </c>
      <c r="E13" s="33">
        <f>C35*'E Balans VL '!I23/100/3.6*1000000</f>
        <v>5.855322031404861E-2</v>
      </c>
      <c r="F13" s="33">
        <f>C35*'E Balans VL '!L23/100/3.6*1000000+C35*'E Balans VL '!N23/100/3.6*1000000</f>
        <v>0.56069437035064196</v>
      </c>
      <c r="G13" s="34"/>
      <c r="H13" s="33"/>
      <c r="I13" s="33"/>
      <c r="J13" s="40">
        <f>C35*'E Balans VL '!D23/100/3.6*1000000+C35*'E Balans VL '!E23/100/3.6*1000000</f>
        <v>0</v>
      </c>
      <c r="K13" s="33"/>
      <c r="L13" s="33"/>
      <c r="M13" s="33"/>
      <c r="N13" s="33">
        <f>C35*'E Balans VL '!Y23/100/3.6*1000000</f>
        <v>11.937791746155352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95.04</v>
      </c>
      <c r="C15" s="33"/>
      <c r="D15" s="37">
        <f>IF( ISERROR(IND_rest_gas_kWh/1000),0,IND_rest_gas_kWh/1000)*0.902</f>
        <v>66.585639999999998</v>
      </c>
      <c r="E15" s="33">
        <f>C37*'E Balans VL '!I15/100/3.6*1000000</f>
        <v>4.8349804075285219</v>
      </c>
      <c r="F15" s="33">
        <f>C37*'E Balans VL '!L15/100/3.6*1000000+C37*'E Balans VL '!N15/100/3.6*1000000</f>
        <v>21.663191805401532</v>
      </c>
      <c r="G15" s="34"/>
      <c r="H15" s="33"/>
      <c r="I15" s="33"/>
      <c r="J15" s="40">
        <f>C37*'E Balans VL '!D15/100/3.6*1000000+C37*'E Balans VL '!E15/100/3.6*1000000</f>
        <v>0.3987241974960804</v>
      </c>
      <c r="K15" s="33"/>
      <c r="L15" s="33"/>
      <c r="M15" s="33"/>
      <c r="N15" s="33">
        <f>C37*'E Balans VL '!Y15/100/3.6*1000000</f>
        <v>17.856483977513285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1248.107</v>
      </c>
      <c r="C18" s="21">
        <f>C5+C16</f>
        <v>0</v>
      </c>
      <c r="D18" s="21">
        <f>MAX((D5+D16),0)</f>
        <v>255.51675599999999</v>
      </c>
      <c r="E18" s="21">
        <f>MAX((E5+E16),0)</f>
        <v>114.7618873987816</v>
      </c>
      <c r="F18" s="21">
        <f>MAX((F5+F16),0)</f>
        <v>1558.4598113113725</v>
      </c>
      <c r="G18" s="21"/>
      <c r="H18" s="21"/>
      <c r="I18" s="21"/>
      <c r="J18" s="21">
        <f>MAX((J5+J16),0)</f>
        <v>15.937089920577689</v>
      </c>
      <c r="K18" s="21"/>
      <c r="L18" s="21">
        <f>MAX((L5+L16),0)</f>
        <v>0</v>
      </c>
      <c r="M18" s="21"/>
      <c r="N18" s="21">
        <f>MAX((N5+N16),0)</f>
        <v>493.7225156727601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0.18671163004077967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233.03609243530738</v>
      </c>
      <c r="C22" s="23">
        <f ca="1">C18*C20</f>
        <v>0</v>
      </c>
      <c r="D22" s="23">
        <f>D18*D20</f>
        <v>51.614384712000003</v>
      </c>
      <c r="E22" s="23">
        <f>E18*E20</f>
        <v>26.050948439523424</v>
      </c>
      <c r="F22" s="23">
        <f>F18*F20</f>
        <v>416.10876962013646</v>
      </c>
      <c r="G22" s="23"/>
      <c r="H22" s="23"/>
      <c r="I22" s="23"/>
      <c r="J22" s="23">
        <f>J18*J20</f>
        <v>5.6417298318845015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48.737000000000002</v>
      </c>
      <c r="C30" s="39">
        <f>IF(ISERROR(B30*3.6/1000000/'E Balans VL '!Z18*100),0,B30*3.6/1000000/'E Balans VL '!Z18*100)</f>
        <v>6.8215558215322051E-3</v>
      </c>
      <c r="D30" s="237" t="s">
        <v>692</v>
      </c>
    </row>
    <row r="31" spans="1:18">
      <c r="A31" s="6" t="s">
        <v>33</v>
      </c>
      <c r="B31" s="37">
        <f>IF( ISERROR(IND_ander_ele_kWh/1000),0,IND_ander_ele_kWh/1000)</f>
        <v>370.53100000000001</v>
      </c>
      <c r="C31" s="39">
        <f>IF(ISERROR(B31*3.6/1000000/'E Balans VL '!Z19*100),0,B31*3.6/1000000/'E Balans VL '!Z19*100)</f>
        <v>1.6218081761331899E-2</v>
      </c>
      <c r="D31" s="237" t="s">
        <v>692</v>
      </c>
    </row>
    <row r="32" spans="1:18">
      <c r="A32" s="171" t="s">
        <v>41</v>
      </c>
      <c r="B32" s="37">
        <f>IF( ISERROR(IND_voed_ele_kWh/1000),0,IND_voed_ele_kWh/1000)</f>
        <v>649.23699999999997</v>
      </c>
      <c r="C32" s="39">
        <f>IF(ISERROR(B32*3.6/1000000/'E Balans VL '!Z20*100),0,B32*3.6/1000000/'E Balans VL '!Z20*100)</f>
        <v>0.16072952110269215</v>
      </c>
      <c r="D32" s="237" t="s">
        <v>692</v>
      </c>
    </row>
    <row r="33" spans="1:5">
      <c r="A33" s="171" t="s">
        <v>40</v>
      </c>
      <c r="B33" s="37">
        <f>IF( ISERROR(IND_textiel_ele_kWh/1000),0,IND_textiel_ele_kWh/1000)</f>
        <v>56.29</v>
      </c>
      <c r="C33" s="39">
        <f>IF(ISERROR(B33*3.6/1000000/'E Balans VL '!Z21*100),0,B33*3.6/1000000/'E Balans VL '!Z21*100)</f>
        <v>6.3428914425147599E-3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28.271999999999998</v>
      </c>
      <c r="C35" s="39">
        <f>IF(ISERROR(B35*3.6/1000000/'E Balans VL '!Z22*100),0,B35*3.6/1000000/'E Balans VL '!Z22*100)</f>
        <v>8.022440164390769E-4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95.04</v>
      </c>
      <c r="C37" s="39">
        <f>IF(ISERROR(B37*3.6/1000000/'E Balans VL '!Z15*100),0,B37*3.6/1000000/'E Balans VL '!Z15*100)</f>
        <v>7.0470532846344646E-4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3969.8026328125002</v>
      </c>
      <c r="C5" s="17">
        <f>'Eigen informatie GS &amp; warmtenet'!B60</f>
        <v>0</v>
      </c>
      <c r="D5" s="30">
        <f>IF(ISERROR(SUM(LB_lb_gas_kWh,LB_rest_gas_kWh,onbekend_gas_kWh)/1000),0,SUM(LB_lb_gas_kWh,LB_rest_gas_kWh,onbekend_gas_kWh)/1000)*0.902</f>
        <v>85.107308000000003</v>
      </c>
      <c r="E5" s="17">
        <f>B17*'E Balans VL '!I25/3.6*1000000/100</f>
        <v>36.769974691291146</v>
      </c>
      <c r="F5" s="17">
        <f>B17*('E Balans VL '!L25/3.6*1000000+'E Balans VL '!N25/3.6*1000000)/100</f>
        <v>10072.145526070788</v>
      </c>
      <c r="G5" s="18"/>
      <c r="H5" s="17"/>
      <c r="I5" s="17"/>
      <c r="J5" s="17">
        <f>('E Balans VL '!D25+'E Balans VL '!E25)/3.6*1000000*landbouw!B17/100</f>
        <v>608.61504673684135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3969.8026328125002</v>
      </c>
      <c r="C8" s="21">
        <f>C5+C6</f>
        <v>0</v>
      </c>
      <c r="D8" s="21">
        <f>MAX((D5+D6),0)</f>
        <v>85.107308000000003</v>
      </c>
      <c r="E8" s="21">
        <f>MAX((E5+E6),0)</f>
        <v>36.769974691291146</v>
      </c>
      <c r="F8" s="21">
        <f>MAX((F5+F6),0)</f>
        <v>10072.145526070788</v>
      </c>
      <c r="G8" s="21"/>
      <c r="H8" s="21"/>
      <c r="I8" s="21"/>
      <c r="J8" s="21">
        <f>MAX((J5+J6),0)</f>
        <v>608.61504673684135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0.18671163004077967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741.20832051260061</v>
      </c>
      <c r="C12" s="23">
        <f ca="1">C8*C10</f>
        <v>0</v>
      </c>
      <c r="D12" s="23">
        <f>D8*D10</f>
        <v>17.191676216000001</v>
      </c>
      <c r="E12" s="23">
        <f>E8*E10</f>
        <v>8.3467842549230902</v>
      </c>
      <c r="F12" s="23">
        <f>F8*F10</f>
        <v>2689.2628554609005</v>
      </c>
      <c r="G12" s="23"/>
      <c r="H12" s="23"/>
      <c r="I12" s="23"/>
      <c r="J12" s="23">
        <f>J8*J10</f>
        <v>215.44972654484184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0.56442176002066113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257.27826094364229</v>
      </c>
      <c r="C26" s="247">
        <f>B26*'GWP N2O_CH4'!B5</f>
        <v>5402.8434798164881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100.59713157038162</v>
      </c>
      <c r="C27" s="247">
        <f>B27*'GWP N2O_CH4'!B5</f>
        <v>2112.5397629780141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3.6092098083999473</v>
      </c>
      <c r="C28" s="247">
        <f>B28*'GWP N2O_CH4'!B4</f>
        <v>1118.8550406039838</v>
      </c>
      <c r="D28" s="50"/>
    </row>
    <row r="29" spans="1:4">
      <c r="A29" s="41" t="s">
        <v>277</v>
      </c>
      <c r="B29" s="247">
        <f>B34*'ha_N2O bodem landbouw'!B4</f>
        <v>20.435282924608412</v>
      </c>
      <c r="C29" s="247">
        <f>B29*'GWP N2O_CH4'!B4</f>
        <v>6334.9377066286079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4.5832739452679591E-3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1.651252465074303E-5</v>
      </c>
      <c r="C5" s="464" t="s">
        <v>211</v>
      </c>
      <c r="D5" s="449">
        <f>SUM(D6:D11)</f>
        <v>6.0678997741360184E-5</v>
      </c>
      <c r="E5" s="449">
        <f>SUM(E6:E11)</f>
        <v>3.6913247344145714E-4</v>
      </c>
      <c r="F5" s="462" t="s">
        <v>211</v>
      </c>
      <c r="G5" s="449">
        <f>SUM(G6:G11)</f>
        <v>9.2835434850249005E-2</v>
      </c>
      <c r="H5" s="449">
        <f>SUM(H6:H11)</f>
        <v>2.2491178206998322E-2</v>
      </c>
      <c r="I5" s="464" t="s">
        <v>211</v>
      </c>
      <c r="J5" s="464" t="s">
        <v>211</v>
      </c>
      <c r="K5" s="464" t="s">
        <v>211</v>
      </c>
      <c r="L5" s="464" t="s">
        <v>211</v>
      </c>
      <c r="M5" s="449">
        <f>SUM(M6:M11)</f>
        <v>6.0624773872429115E-3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3.8677698211611118E-6</v>
      </c>
      <c r="C6" s="450"/>
      <c r="D6" s="963">
        <f>vkm_2011_GW_PW*SUMIFS(TableVerdeelsleutelVkm[CNG],TableVerdeelsleutelVkm[Voertuigtype],"Lichte voertuigen")*SUMIFS(TableECFTransport[EnergieConsumptieFactor (PJ per km)],TableECFTransport[Index],CONCATENATE($A6,"_CNG_CNG"))</f>
        <v>8.9465774201633417E-6</v>
      </c>
      <c r="E6" s="963">
        <f>vkm_2011_GW_PW*SUMIFS(TableVerdeelsleutelVkm[LPG],TableVerdeelsleutelVkm[Voertuigtype],"Lichte voertuigen")*SUMIFS(TableECFTransport[EnergieConsumptieFactor (PJ per km)],TableECFTransport[Index],CONCATENATE($A6,"_LPG_LPG"))</f>
        <v>5.8254709473332624E-5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1.2101984909020543E-2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3.4112994508625808E-3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8.0505903846976601E-4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1.2221208170456287E-2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4.1794312468168534E-6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7.070661656125056E-4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1.2644754829581918E-5</v>
      </c>
      <c r="C8" s="450"/>
      <c r="D8" s="452">
        <f>vkm_2011_NGW_PW*SUMIFS(TableVerdeelsleutelVkm[CNG],TableVerdeelsleutelVkm[Voertuigtype],"Lichte voertuigen")*SUMIFS(TableECFTransport[EnergieConsumptieFactor (PJ per km)],TableECFTransport[Index],CONCATENATE($A8,"_CNG_CNG"))</f>
        <v>5.1732420321196839E-5</v>
      </c>
      <c r="E8" s="452">
        <f>vkm_2011_NGW_PW*SUMIFS(TableVerdeelsleutelVkm[LPG],TableVerdeelsleutelVkm[Voertuigtype],"Lichte voertuigen")*SUMIFS(TableECFTransport[EnergieConsumptieFactor (PJ per km)],TableECFTransport[Index],CONCATENATE($A8,"_LPG_LPG"))</f>
        <v>3.1087776396812453E-4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6.0372005063115429E-2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1.9073065239113375E-2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4.0793979580747985E-3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8.140236707656753E-3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2.6340857755467344E-6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4.7095422508584145E-4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4.586812402984175</v>
      </c>
      <c r="C14" s="21"/>
      <c r="D14" s="21">
        <f t="shared" ref="D14:M14" si="0">((D5)*10^9/3600)+D12</f>
        <v>16.855277150377827</v>
      </c>
      <c r="E14" s="21">
        <f t="shared" si="0"/>
        <v>102.53679817818254</v>
      </c>
      <c r="F14" s="21"/>
      <c r="G14" s="21">
        <f t="shared" si="0"/>
        <v>25787.620791735837</v>
      </c>
      <c r="H14" s="21">
        <f t="shared" si="0"/>
        <v>6247.5495019439786</v>
      </c>
      <c r="I14" s="21"/>
      <c r="J14" s="21"/>
      <c r="K14" s="21"/>
      <c r="L14" s="21"/>
      <c r="M14" s="21">
        <f t="shared" si="0"/>
        <v>1684.0214964563643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0.18671163004077967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0.85641122045244089</v>
      </c>
      <c r="C18" s="23"/>
      <c r="D18" s="23">
        <f t="shared" ref="D18:M18" si="1">D14*D16</f>
        <v>3.4047659843763212</v>
      </c>
      <c r="E18" s="23">
        <f t="shared" si="1"/>
        <v>23.275853186447435</v>
      </c>
      <c r="F18" s="23"/>
      <c r="G18" s="23">
        <f t="shared" si="1"/>
        <v>6885.2947513934687</v>
      </c>
      <c r="H18" s="23">
        <f t="shared" si="1"/>
        <v>1555.6398259840507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2.1153391222043546E-3</v>
      </c>
      <c r="H50" s="321">
        <f t="shared" si="2"/>
        <v>0</v>
      </c>
      <c r="I50" s="321">
        <f t="shared" si="2"/>
        <v>0</v>
      </c>
      <c r="J50" s="321">
        <f t="shared" si="2"/>
        <v>0</v>
      </c>
      <c r="K50" s="321">
        <f t="shared" si="2"/>
        <v>0</v>
      </c>
      <c r="L50" s="321">
        <f t="shared" si="2"/>
        <v>0</v>
      </c>
      <c r="M50" s="321">
        <f t="shared" si="2"/>
        <v>1.2063162359265781E-4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2.1153391222043546E-3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1.2063162359265781E-4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587.59420061232072</v>
      </c>
      <c r="H54" s="21">
        <f t="shared" si="3"/>
        <v>0</v>
      </c>
      <c r="I54" s="21">
        <f t="shared" si="3"/>
        <v>0</v>
      </c>
      <c r="J54" s="21">
        <f t="shared" si="3"/>
        <v>0</v>
      </c>
      <c r="K54" s="21">
        <f t="shared" si="3"/>
        <v>0</v>
      </c>
      <c r="L54" s="21">
        <f t="shared" si="3"/>
        <v>0</v>
      </c>
      <c r="M54" s="21">
        <f t="shared" si="3"/>
        <v>33.508784331293839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0.18671163004077967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156.88765156348964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3670.4506350651227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3670.4506350651227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2018-06-27T09:36:03Z</dcterms:modified>
</cp:coreProperties>
</file>