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D12" s="1"/>
  <c r="E48" i="14"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N8" i="17"/>
  <c r="O22" i="14" s="1"/>
  <c r="B35" i="13"/>
  <c r="O18" i="16"/>
  <c r="O22" s="1"/>
  <c r="P39" i="14" s="1"/>
  <c r="B36" i="13"/>
  <c r="G31" i="20"/>
  <c r="H43" i="14" s="1"/>
  <c r="G12" i="22"/>
  <c r="D18" i="16"/>
  <c r="D22" s="1"/>
  <c r="E39" i="14" s="1"/>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12" i="17"/>
  <c r="F48" i="14" s="1"/>
  <c r="C5" i="48"/>
  <c r="P13" i="14" l="1"/>
  <c r="P15" s="1"/>
  <c r="P23" s="1"/>
  <c r="P55" s="1"/>
  <c r="F22"/>
  <c r="G14" i="22"/>
  <c r="O8" i="48"/>
  <c r="O25" s="1"/>
  <c r="P41" i="14"/>
  <c r="P53" s="1"/>
  <c r="D8" i="48"/>
  <c r="D25" s="1"/>
  <c r="J16" i="15"/>
  <c r="J5" i="48" s="1"/>
  <c r="J22" s="1"/>
  <c r="E16" i="15"/>
  <c r="E20" s="1"/>
  <c r="F36"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R22" i="14"/>
  <c r="F10"/>
  <c r="F18" i="16"/>
  <c r="G13" i="14" s="1"/>
  <c r="G15" s="1"/>
  <c r="G23" s="1"/>
  <c r="M16" i="18"/>
  <c r="M19" s="1"/>
  <c r="K10" i="14"/>
  <c r="R10" s="1"/>
  <c r="J18" i="16"/>
  <c r="J22" s="1"/>
  <c r="K39" i="14" s="1"/>
  <c r="K41" s="1"/>
  <c r="K53"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N22" i="16"/>
  <c r="O39" i="14" s="1"/>
  <c r="O41" s="1"/>
  <c r="Q4" i="48"/>
  <c r="N22"/>
  <c r="R11" i="14"/>
  <c r="J21" i="48"/>
  <c r="C17" i="19" l="1"/>
  <c r="C19" s="1"/>
  <c r="D35" i="14" s="1"/>
  <c r="C20" i="16"/>
  <c r="C22" s="1"/>
  <c r="D39" i="14" s="1"/>
  <c r="C29" i="20"/>
  <c r="C18" i="15"/>
  <c r="C20" s="1"/>
  <c r="D36" i="14" s="1"/>
  <c r="C10" i="13"/>
  <c r="C16" i="48" s="1"/>
  <c r="C30" s="1"/>
  <c r="C10" i="17"/>
  <c r="C12" s="1"/>
  <c r="D48" i="14" s="1"/>
  <c r="C17" i="49"/>
  <c r="C16" i="22"/>
  <c r="C56"/>
  <c r="C58" s="1"/>
  <c r="D44" i="14" s="1"/>
  <c r="D46" s="1"/>
  <c r="E25" i="48"/>
  <c r="E31" s="1"/>
  <c r="E14"/>
  <c r="N14"/>
  <c r="N31"/>
  <c r="K13" i="14"/>
  <c r="K15" s="1"/>
  <c r="K23" s="1"/>
  <c r="K55" s="1"/>
  <c r="F22" i="16"/>
  <c r="G39" i="14" s="1"/>
  <c r="G41" s="1"/>
  <c r="F8" i="48"/>
  <c r="Q8" s="1"/>
  <c r="Q14" s="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l="1"/>
  <c r="R15" s="1"/>
  <c r="R23" s="1"/>
  <c r="F25" i="48"/>
  <c r="F31" s="1"/>
  <c r="F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<sst xmlns="http://schemas.openxmlformats.org/spreadsheetml/2006/main" count="1968" uniqueCount="847">
  <si>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</si>
  <si>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</si>
  <si>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</si>
  <si>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</si>
  <si>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</si>
  <si>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</si>
  <si>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</si>
  <si>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</si>
  <si>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</si>
  <si>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</si>
  <si>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</si>
  <si>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</si>
  <si>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</si>
  <si>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</si>
  <si>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</si>
  <si>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</si>
  <si>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</si>
  <si>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</si>
  <si>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</si>
  <si>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</si>
  <si>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</si>
  <si>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</si>
  <si>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</si>
  <si>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</si>
  <si>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</si>
  <si>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</si>
  <si>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</si>
  <si>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</si>
  <si>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</si>
  <si>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</si>
  <si>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</si>
  <si>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</si>
  <si>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</si>
  <si>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</si>
  <si>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</si>
  <si>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</si>
  <si>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</si>
  <si>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</si>
  <si>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</si>
  <si>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</si>
  <si>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</si>
  <si>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</si>
  <si>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</si>
  <si>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</si>
  <si>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</si>
  <si>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</si>
  <si>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</si>
  <si>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</si>
  <si>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</si>
  <si>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</si>
  <si>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</si>
  <si>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</si>
  <si>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</si>
  <si>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</si>
  <si>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</si>
  <si>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</si>
  <si>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</si>
  <si>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</si>
  <si>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</si>
  <si>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</si>
  <si>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</si>
  <si>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</si>
  <si>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</si>
  <si>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</si>
  <si>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</si>
  <si>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</si>
  <si>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</si>
  <si>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</si>
  <si>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</si>
  <si>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</si>
  <si>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</si>
  <si>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</si>
  <si>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</si>
  <si>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</si>
  <si>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</si>
  <si>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</si>
  <si>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</si>
  <si>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</si>
  <si>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</si>
  <si>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</si>
  <si>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</si>
  <si>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</si>
  <si>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</si>
  <si>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</si>
  <si>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</si>
  <si>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</si>
  <si>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</si>
  <si>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</si>
  <si>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</si>
  <si>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</si>
  <si>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</si>
  <si>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</si>
  <si>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</si>
  <si>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</si>
  <si>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</si>
  <si>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</si>
  <si>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</si>
  <si>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</si>
  <si>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</si>
  <si>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</si>
  <si>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</si>
  <si>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</si>
  <si>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</si>
  <si>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</si>
  <si>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</si>
  <si>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</si>
  <si>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</si>
  <si>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</si>
  <si>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</si>
  <si>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</si>
  <si>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</si>
  <si>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</si>
  <si>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</si>
  <si>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</si>
  <si>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</si>
  <si>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</si>
  <si>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</si>
  <si>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</si>
  <si>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</si>
  <si>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</si>
  <si>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</si>
  <si>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</si>
  <si>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</si>
  <si>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</si>
  <si>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</si>
  <si>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</si>
  <si>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</si>
  <si>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</si>
  <si>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</si>
  <si>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</si>
  <si>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</si>
  <si>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</si>
  <si>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</si>
  <si>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</si>
  <si>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</si>
  <si>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</si>
  <si>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</si>
  <si>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</si>
  <si>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</si>
  <si>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</si>
  <si>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</si>
  <si>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</si>
  <si>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</si>
  <si>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</si>
  <si>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</si>
  <si>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</si>
  <si>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</si>
  <si>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</si>
  <si>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</si>
  <si>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</si>
  <si>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</si>
  <si>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</si>
  <si>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</si>
  <si>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</si>
  <si>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</si>
  <si>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</si>
  <si>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</si>
  <si>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</si>
  <si>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</si>
  <si>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</si>
  <si>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</si>
  <si>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</si>
  <si>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</si>
  <si>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</si>
  <si>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</si>
  <si>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</si>
  <si>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</si>
  <si>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</si>
  <si>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</si>
  <si>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</si>
  <si>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</si>
  <si>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</si>
  <si>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</si>
  <si>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</si>
  <si>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</si>
  <si>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</si>
  <si>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</si>
  <si>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</si>
  <si>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</si>
  <si>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</si>
  <si>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</si>
  <si>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</si>
  <si>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</si>
  <si>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</si>
  <si>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</si>
  <si>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</si>
  <si>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</si>
  <si>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</si>
  <si>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</si>
  <si>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</si>
  <si>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</si>
  <si>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</si>
  <si>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</si>
  <si>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</si>
  <si>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</si>
  <si>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</si>
  <si>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</si>
  <si>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</si>
  <si>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</si>
  <si>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</si>
  <si>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</si>
  <si>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</si>
  <si>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</si>
  <si>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</si>
  <si>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</si>
  <si>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</si>
  <si>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</si>
  <si>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</si>
  <si>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</si>
  <si>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</si>
  <si>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</si>
  <si>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</si>
  <si>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</si>
  <si>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</si>
  <si>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</si>
  <si>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</si>
  <si>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</si>
  <si>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</si>
  <si>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</si>
  <si>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</si>
  <si>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</si>
  <si>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</si>
  <si>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</si>
  <si>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</si>
  <si>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</si>
  <si>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</si>
  <si>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</si>
  <si>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</si>
  <si>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</si>
  <si>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</si>
  <si>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</si>
  <si>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</si>
  <si>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</si>
  <si>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</si>
  <si>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</si>
  <si>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</si>
  <si>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</si>
  <si>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</si>
  <si>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</si>
  <si>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</si>
  <si>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</si>
  <si>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</si>
  <si>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</si>
  <si>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</si>
  <si>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</si>
  <si>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</si>
  <si>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</si>
  <si>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</si>
  <si>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</si>
  <si>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</si>
  <si>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</si>
  <si>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</si>
  <si>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</si>
  <si>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</si>
  <si>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</si>
  <si>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</si>
  <si>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</si>
  <si>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</si>
  <si>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</si>
  <si>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</si>
  <si>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</si>
  <si>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</si>
  <si>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</si>
  <si>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</si>
  <si>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</si>
  <si>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</si>
  <si>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</si>
  <si>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</si>
  <si>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</si>
  <si>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</si>
  <si>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</si>
  <si>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</si>
  <si>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</si>
  <si>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</si>
  <si>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</si>
  <si>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</si>
  <si>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</si>
  <si>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</si>
  <si>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</si>
  <si>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</si>
  <si>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</si>
  <si>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</si>
  <si>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</si>
  <si>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</si>
  <si>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</si>
  <si>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</si>
  <si>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</si>
  <si>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</si>
  <si>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</si>
  <si>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</si>
  <si>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</si>
  <si>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</si>
  <si>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</si>
  <si>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</si>
  <si>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</si>
  <si>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</si>
  <si>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</si>
  <si>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</si>
  <si>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</si>
  <si>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</si>
  <si>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</si>
  <si>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</si>
  <si>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</si>
  <si>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</si>
  <si>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</si>
  <si>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</si>
  <si>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</si>
  <si>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</si>
  <si>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</si>
  <si>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</si>
  <si>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</si>
  <si>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</si>
  <si>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</si>
  <si>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</si>
  <si>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</si>
  <si>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</si>
  <si>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</si>
  <si>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</si>
  <si>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</si>
  <si>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</si>
  <si>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</si>
  <si>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</si>
  <si>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</si>
  <si>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</si>
  <si>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</si>
  <si>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</si>
  <si>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</si>
  <si>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</si>
  <si>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</si>
  <si>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</si>
  <si>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</si>
  <si>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</si>
  <si>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</si>
  <si>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</si>
  <si>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</si>
  <si>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</si>
  <si>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</si>
  <si>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</si>
  <si>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</si>
  <si>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</si>
  <si>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</si>
  <si>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</si>
  <si>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</si>
  <si>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</si>
  <si>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</si>
  <si>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</si>
  <si>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</si>
  <si>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</si>
  <si>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</si>
  <si>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</si>
  <si>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</si>
  <si>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</si>
  <si>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</si>
  <si>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</si>
  <si>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</si>
  <si>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</si>
  <si>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</si>
  <si>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</si>
  <si>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</si>
  <si>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</si>
  <si>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</si>
  <si>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</si>
  <si>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</si>
  <si>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</si>
  <si>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</si>
  <si>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</si>
  <si>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</si>
  <si>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</si>
  <si>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</si>
  <si>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</si>
  <si>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</si>
  <si>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</si>
  <si>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</si>
  <si>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</si>
  <si>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</si>
  <si>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</si>
  <si>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</si>
  <si>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</si>
  <si>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</si>
  <si>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</si>
  <si>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</si>
  <si>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</si>
  <si>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</si>
  <si>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</si>
  <si>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</si>
  <si>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</si>
  <si>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</si>
  <si>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</si>
  <si>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</si>
  <si>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</si>
  <si>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</si>
  <si>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</si>
  <si>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</si>
  <si>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</si>
  <si>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</si>
  <si>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</si>
  <si>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</si>
  <si>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</si>
  <si>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</si>
  <si>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</si>
  <si>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</si>
  <si>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</si>
  <si>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</si>
  <si>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</si>
  <si>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</si>
  <si>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</si>
  <si>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</si>
  <si>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</si>
  <si>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</si>
  <si>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</si>
  <si>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</si>
  <si>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</si>
  <si>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</si>
  <si>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</si>
  <si>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</si>
  <si>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</si>
  <si>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</si>
  <si>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</si>
  <si>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</si>
  <si>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</si>
  <si>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</si>
  <si>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</si>
  <si>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</si>
  <si>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</si>
  <si>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</si>
  <si>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</si>
  <si>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</si>
  <si>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</si>
  <si>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</si>
  <si>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</si>
  <si>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</si>
  <si>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</si>
  <si>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</si>
  <si>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</si>
  <si>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</si>
  <si>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</si>
  <si>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</si>
  <si>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</si>
  <si>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</si>
  <si>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</si>
  <si>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</si>
  <si>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</si>
  <si>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</si>
  <si>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</si>
  <si>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</si>
  <si>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</si>
  <si>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</si>
  <si>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</si>
  <si>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</si>
  <si>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</si>
  <si>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</si>
  <si>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</si>
  <si>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</si>
  <si>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</si>
  <si>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</si>
  <si>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</si>
  <si>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</si>
  <si>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</si>
  <si>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</si>
  <si>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</si>
  <si>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</si>
  <si>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</si>
  <si>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</si>
  <si>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</si>
  <si>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</si>
  <si>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</si>
  <si>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</si>
  <si>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</si>
  <si>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</si>
  <si>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</si>
  <si>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</si>
  <si>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</si>
  <si>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</si>
  <si>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</si>
  <si>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</si>
  <si>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</si>
  <si>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</si>
  <si>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</si>
  <si>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</si>
  <si>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</si>
  <si>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</si>
  <si>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</si>
  <si>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</si>
  <si>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</si>
  <si>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</si>
  <si>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</si>
  <si>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</si>
  <si>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</si>
  <si>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</si>
  <si>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</si>
  <si>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</si>
  <si>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</si>
  <si>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</si>
  <si>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</si>
  <si>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</si>
  <si>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</si>
  <si>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</si>
  <si>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</si>
  <si>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</si>
  <si>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</si>
  <si>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</si>
  <si>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</si>
  <si>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</si>
  <si>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</si>
  <si>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</si>
  <si>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</si>
  <si>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</si>
  <si>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</si>
  <si>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</si>
  <si>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</si>
  <si>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</si>
  <si>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</si>
  <si>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</si>
  <si>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</si>
  <si>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</si>
  <si>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</si>
  <si>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</si>
  <si>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</si>
  <si>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</si>
  <si>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</si>
  <si>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</si>
  <si>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</si>
  <si>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</si>
  <si>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</si>
  <si>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</si>
  <si>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</si>
  <si>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</si>
  <si>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</si>
  <si>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</si>
  <si>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</si>
  <si>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</si>
  <si>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</si>
  <si>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</si>
  <si>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</si>
  <si>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</si>
  <si>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</si>
  <si>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</si>
  <si>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</si>
  <si>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</si>
  <si>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</si>
  <si>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</si>
  <si>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</si>
  <si>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</si>
  <si>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</si>
  <si>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</si>
  <si>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</si>
  <si>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</si>
  <si>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</si>
  <si>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</si>
  <si>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</si>
  <si>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</si>
  <si>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</si>
  <si>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</si>
  <si>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</si>
  <si>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</si>
  <si>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</si>
  <si>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</si>
  <si>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</si>
  <si>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</si>
  <si>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</si>
  <si>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</si>
  <si>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</si>
  <si>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</si>
  <si>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</si>
  <si>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</si>
  <si>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</si>
  <si>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</si>
  <si>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</si>
  <si>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</si>
  <si>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</si>
  <si>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</si>
  <si>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</si>
  <si>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</si>
  <si>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</si>
  <si>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</si>
  <si>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</si>
  <si>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</si>
  <si>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</si>
  <si>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</si>
  <si>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</si>
  <si>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</si>
  <si>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</si>
  <si>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</si>
  <si>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</si>
  <si>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</si>
  <si>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</si>
  <si>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</si>
  <si>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</si>
  <si>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</si>
  <si>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</si>
  <si>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</si>
  <si>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</si>
  <si>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</si>
  <si>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</si>
  <si>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</si>
  <si>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</si>
  <si>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</si>
  <si>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</si>
  <si>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</si>
  <si>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</si>
  <si>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</si>
  <si>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</si>
  <si>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</si>
  <si>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</si>
  <si>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</si>
  <si>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</si>
  <si>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</si>
  <si>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</si>
  <si>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</si>
  <si>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</si>
  <si>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</si>
  <si>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</si>
  <si>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</si>
  <si>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</si>
  <si>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</si>
  <si>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</si>
  <si>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</si>
  <si>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</si>
  <si>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</si>
  <si>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</si>
  <si>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</si>
  <si>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</si>
  <si>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</si>
  <si>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</si>
  <si>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</si>
  <si>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</si>
  <si>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</si>
  <si>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</si>
  <si>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</si>
  <si>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</si>
  <si>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</si>
  <si>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</si>
  <si>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</si>
  <si>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</si>
  <si>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</si>
  <si>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</si>
  <si>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</si>
  <si>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</si>
  <si>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</si>
  <si>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</si>
  <si>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</si>
  <si>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</si>
  <si>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</si>
  <si>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</si>
  <si>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</si>
  <si>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</si>
  <si>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</si>
  <si>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</si>
  <si>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</si>
  <si>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</si>
  <si>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</si>
  <si>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</si>
  <si>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</si>
  <si>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</si>
  <si>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</si>
  <si>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</si>
  <si>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</si>
  <si>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</si>
  <si>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</si>
  <si>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</si>
  <si>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</si>
  <si>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</si>
  <si>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</si>
  <si>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</si>
  <si>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</si>
  <si>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</si>
  <si>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</si>
  <si>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</si>
  <si>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</si>
  <si>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</si>
  <si>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</si>
  <si>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</si>
  <si>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</si>
  <si>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</si>
  <si>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</si>
  <si>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</si>
  <si>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</si>
  <si>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</si>
  <si>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</si>
  <si>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</si>
  <si>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</si>
  <si>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</si>
  <si>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</si>
  <si>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</si>
  <si>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</si>
  <si>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</si>
  <si>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</si>
  <si>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</si>
  <si>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</si>
  <si>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</si>
  <si>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</si>
  <si>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</si>
  <si>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</si>
  <si>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</si>
  <si>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</si>
  <si>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</si>
  <si>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</si>
  <si>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</si>
  <si>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</si>
  <si>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</si>
  <si>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</si>
  <si>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</si>
  <si>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</si>
  <si>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</si>
  <si>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</si>
  <si>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</si>
  <si>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</si>
  <si>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</si>
  <si>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</si>
  <si>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</si>
  <si>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</si>
  <si>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</si>
  <si>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</si>
  <si>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</si>
  <si>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</si>
  <si>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</si>
  <si>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</si>
  <si>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</si>
  <si>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</si>
  <si>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</si>
  <si>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</si>
  <si>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</si>
  <si>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</si>
  <si>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</si>
  <si>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</si>
  <si>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</si>
  <si>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</si>
  <si>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</si>
  <si>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</si>
  <si>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</si>
  <si>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</si>
  <si>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</si>
  <si>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</si>
  <si>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</si>
  <si>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</si>
  <si>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</si>
  <si>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</si>
  <si>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</si>
  <si>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</si>
  <si>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</si>
  <si>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</si>
  <si>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</si>
  <si>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</si>
  <si>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</si>
  <si>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</si>
  <si>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</si>
  <si>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</si>
  <si>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</si>
  <si>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</si>
  <si>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</si>
  <si>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</si>
  <si>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</si>
  <si>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</si>
  <si>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</si>
  <si>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</si>
  <si>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</si>
  <si>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</si>
  <si>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</si>
  <si>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</si>
  <si>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</si>
  <si>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</si>
  <si>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</si>
  <si>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</si>
  <si>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</si>
  <si>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</si>
  <si>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</si>
  <si>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</si>
  <si>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</si>
  <si>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</si>
  <si>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</si>
  <si>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</si>
  <si>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</si>
  <si>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</si>
  <si>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</si>
  <si>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</si>
  <si>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</si>
  <si>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</si>
  <si>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</si>
  <si>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</si>
  <si>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</si>
  <si>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</si>
  <si>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</si>
  <si>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</si>
  <si>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</si>
  <si>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</si>
  <si>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</si>
  <si>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</si>
  <si>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</si>
  <si>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</si>
  <si>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</si>
  <si>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</si>
  <si>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</si>
  <si>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</si>
  <si>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</si>
  <si>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</si>
  <si>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</si>
  <si>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</si>
  <si>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</si>
  <si>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</si>
  <si>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</si>
  <si>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</si>
  <si>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</si>
  <si>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</si>
  <si>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</si>
  <si>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</si>
  <si>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</si>
  <si>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</si>
  <si>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</si>
  <si>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</si>
  <si>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</si>
  <si>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</si>
  <si>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</si>
  <si>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</si>
  <si>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</si>
  <si>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</si>
  <si>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</si>
  <si>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</si>
  <si>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</si>
  <si>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</si>
  <si>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</si>
  <si>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</si>
  <si>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</si>
  <si>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</si>
  <si>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</si>
  <si>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</si>
  <si>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</si>
  <si>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24045</t>
  </si>
  <si>
    <t>HULDENBERG</t>
  </si>
  <si>
    <t>Paarden&amp;pony's 200 - 600 kg</t>
  </si>
  <si>
    <t>Paarden&amp;pony's &lt; 200 kg</t>
  </si>
  <si>
    <t>referentietaak LNE (2017); Jaarverslag De Lijn (2014)</t>
  </si>
  <si>
    <t>op basis van VEA (maart 2018) en Inventaris Hernieuwbare Energiebronnen (juni 2018)</t>
  </si>
  <si>
    <t>VEA (maart 2016)</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</si>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</sst>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86625.942459433747</c:v>
                </c:pt>
                <c:pt idx="1">
                  <c:v>22649.307508719794</c:v>
                </c:pt>
                <c:pt idx="2">
                  <c:v>707.11300000000006</c:v>
                </c:pt>
                <c:pt idx="3">
                  <c:v>2267.9543733995156</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86625.942459433747</c:v>
                </c:pt>
                <c:pt idx="1">
                  <c:v>22649.307508719794</c:v>
                </c:pt>
                <c:pt idx="2">
                  <c:v>707.11300000000006</c:v>
                </c:pt>
                <c:pt idx="3">
                  <c:v>2267.9543733995156</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17811.039812625302</c:v>
                </c:pt>
                <c:pt idx="1">
                  <c:v>4314.2071716894116</c:v>
                </c:pt>
                <c:pt idx="2">
                  <c:v>125.07058398322808</c:v>
                </c:pt>
                <c:pt idx="3">
                  <c:v>529.12153281782741</c:v>
                </c:pt>
                <c:pt idx="4">
                  <c:v>597.42148754685354</c:v>
                </c:pt>
                <c:pt idx="5">
                  <c:v>14693.646148273172</c:v>
                </c:pt>
                <c:pt idx="6">
                  <c:v>626.63385292669682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17811.039812625302</c:v>
                </c:pt>
                <c:pt idx="1">
                  <c:v>4314.2071716894116</c:v>
                </c:pt>
                <c:pt idx="2">
                  <c:v>125.07058398322808</c:v>
                </c:pt>
                <c:pt idx="3">
                  <c:v>529.12153281782741</c:v>
                </c:pt>
                <c:pt idx="4">
                  <c:v>597.42148754685354</c:v>
                </c:pt>
                <c:pt idx="5">
                  <c:v>14693.646148273172</c:v>
                </c:pt>
                <c:pt idx="6">
                  <c:v>626.63385292669682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24045</v>
      </c>
      <c r="B6" s="416"/>
      <c r="C6" s="417"/>
    </row>
    <row r="7" spans="1:7" s="414" customFormat="1" ht="15.75" customHeight="1">
      <c r="A7" s="418" t="str">
        <f>txtMunicipality</f>
        <v>HULDENBERG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14409.187</v>
      </c>
      <c r="D10" s="719">
        <f ca="1">tertiair!C16</f>
        <v>60.75</v>
      </c>
      <c r="E10" s="719">
        <f ca="1">tertiair!D16</f>
        <v>7363.2132592689086</v>
      </c>
      <c r="F10" s="719">
        <f>tertiair!E16</f>
        <v>54.415789095169956</v>
      </c>
      <c r="G10" s="719">
        <f ca="1">tertiair!F16</f>
        <v>1464.1644603557188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0</v>
      </c>
      <c r="R10" s="722">
        <f ca="1">SUM(C10:Q10)</f>
        <v>23356.420508719792</v>
      </c>
      <c r="S10" s="67"/>
    </row>
    <row r="11" spans="1:19" s="475" customFormat="1">
      <c r="A11" s="871" t="s">
        <v>225</v>
      </c>
      <c r="B11" s="876"/>
      <c r="C11" s="719">
        <f>huishoudens!B8</f>
        <v>18242.115622677677</v>
      </c>
      <c r="D11" s="719">
        <f>huishoudens!C8</f>
        <v>0</v>
      </c>
      <c r="E11" s="719">
        <f>huishoudens!D8</f>
        <v>23513.071296166268</v>
      </c>
      <c r="F11" s="719">
        <f>huishoudens!E8</f>
        <v>3019.794056730856</v>
      </c>
      <c r="G11" s="719">
        <f>huishoudens!F8</f>
        <v>34108.602932602626</v>
      </c>
      <c r="H11" s="719">
        <f>huishoudens!G8</f>
        <v>0</v>
      </c>
      <c r="I11" s="719">
        <f>huishoudens!H8</f>
        <v>0</v>
      </c>
      <c r="J11" s="719">
        <f>huishoudens!I8</f>
        <v>0</v>
      </c>
      <c r="K11" s="719">
        <f>huishoudens!J8</f>
        <v>119.59236075790119</v>
      </c>
      <c r="L11" s="719">
        <f>huishoudens!K8</f>
        <v>0</v>
      </c>
      <c r="M11" s="719">
        <f>huishoudens!L8</f>
        <v>0</v>
      </c>
      <c r="N11" s="719">
        <f>huishoudens!M8</f>
        <v>0</v>
      </c>
      <c r="O11" s="719">
        <f>huishoudens!N8</f>
        <v>7066.0328571651107</v>
      </c>
      <c r="P11" s="719">
        <f>huishoudens!O8</f>
        <v>156.33333333333334</v>
      </c>
      <c r="Q11" s="720">
        <f>huishoudens!P8</f>
        <v>400.4</v>
      </c>
      <c r="R11" s="722">
        <f>SUM(C11:Q11)</f>
        <v>86625.942459433747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1175.29315</v>
      </c>
      <c r="D13" s="719">
        <f>industrie!C18</f>
        <v>0</v>
      </c>
      <c r="E13" s="719">
        <f>industrie!D18</f>
        <v>606.53247415550697</v>
      </c>
      <c r="F13" s="719">
        <f>industrie!E18</f>
        <v>171.97160768165759</v>
      </c>
      <c r="G13" s="719">
        <f>industrie!F18</f>
        <v>846.05244901546519</v>
      </c>
      <c r="H13" s="719">
        <f>industrie!G18</f>
        <v>0</v>
      </c>
      <c r="I13" s="719">
        <f>industrie!H18</f>
        <v>0</v>
      </c>
      <c r="J13" s="719">
        <f>industrie!I18</f>
        <v>0</v>
      </c>
      <c r="K13" s="719">
        <f>industrie!J18</f>
        <v>5.8995462973578965</v>
      </c>
      <c r="L13" s="719">
        <f>industrie!K18</f>
        <v>0</v>
      </c>
      <c r="M13" s="719">
        <f>industrie!L18</f>
        <v>0</v>
      </c>
      <c r="N13" s="719">
        <f>industrie!M18</f>
        <v>0</v>
      </c>
      <c r="O13" s="719">
        <f>industrie!N18</f>
        <v>346.43905417779831</v>
      </c>
      <c r="P13" s="719">
        <f>industrie!O18</f>
        <v>0</v>
      </c>
      <c r="Q13" s="720">
        <f>industrie!P18</f>
        <v>0</v>
      </c>
      <c r="R13" s="722">
        <f>SUM(C13:Q13)</f>
        <v>3152.1882813277862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33826.595772677676</v>
      </c>
      <c r="D15" s="724">
        <f t="shared" ref="D15:Q15" ca="1" si="0">SUM(D9:D14)</f>
        <v>60.75</v>
      </c>
      <c r="E15" s="724">
        <f t="shared" ca="1" si="0"/>
        <v>31482.817029590686</v>
      </c>
      <c r="F15" s="724">
        <f t="shared" si="0"/>
        <v>3246.1814535076837</v>
      </c>
      <c r="G15" s="724">
        <f t="shared" ca="1" si="0"/>
        <v>36418.819841973811</v>
      </c>
      <c r="H15" s="724">
        <f t="shared" si="0"/>
        <v>0</v>
      </c>
      <c r="I15" s="724">
        <f t="shared" si="0"/>
        <v>0</v>
      </c>
      <c r="J15" s="724">
        <f t="shared" si="0"/>
        <v>0</v>
      </c>
      <c r="K15" s="724">
        <f t="shared" si="0"/>
        <v>125.49190705525909</v>
      </c>
      <c r="L15" s="724">
        <f t="shared" si="0"/>
        <v>0</v>
      </c>
      <c r="M15" s="724">
        <f t="shared" ca="1" si="0"/>
        <v>0</v>
      </c>
      <c r="N15" s="724">
        <f t="shared" si="0"/>
        <v>0</v>
      </c>
      <c r="O15" s="724">
        <f t="shared" ca="1" si="0"/>
        <v>7412.4719113429092</v>
      </c>
      <c r="P15" s="724">
        <f t="shared" si="0"/>
        <v>161.02333333333334</v>
      </c>
      <c r="Q15" s="725">
        <f t="shared" si="0"/>
        <v>400.4</v>
      </c>
      <c r="R15" s="726">
        <f ca="1">SUM(R9:R14)</f>
        <v>113134.55124948133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2346.9432693883773</v>
      </c>
      <c r="I18" s="719">
        <f>transport!H54</f>
        <v>0</v>
      </c>
      <c r="J18" s="719">
        <f>transport!I54</f>
        <v>0</v>
      </c>
      <c r="K18" s="719">
        <f>transport!J54</f>
        <v>0</v>
      </c>
      <c r="L18" s="719">
        <f>transport!K54</f>
        <v>0</v>
      </c>
      <c r="M18" s="719">
        <f>transport!L54</f>
        <v>0</v>
      </c>
      <c r="N18" s="719">
        <f>transport!M54</f>
        <v>133.83933294400148</v>
      </c>
      <c r="O18" s="719">
        <f>transport!N54</f>
        <v>0</v>
      </c>
      <c r="P18" s="719">
        <f>transport!O54</f>
        <v>0</v>
      </c>
      <c r="Q18" s="720">
        <f>transport!P54</f>
        <v>0</v>
      </c>
      <c r="R18" s="722">
        <f>SUM(C18:Q18)</f>
        <v>2480.7826023323787</v>
      </c>
      <c r="S18" s="67"/>
    </row>
    <row r="19" spans="1:19" s="475" customFormat="1" ht="15" thickBot="1">
      <c r="A19" s="871" t="s">
        <v>307</v>
      </c>
      <c r="B19" s="876"/>
      <c r="C19" s="728">
        <f>transport!B14</f>
        <v>9.5614577635359375</v>
      </c>
      <c r="D19" s="728">
        <f>transport!C14</f>
        <v>0</v>
      </c>
      <c r="E19" s="728">
        <f>transport!D14</f>
        <v>30.410499678500994</v>
      </c>
      <c r="F19" s="728">
        <f>transport!E14</f>
        <v>188.43406271328843</v>
      </c>
      <c r="G19" s="728">
        <f>transport!F14</f>
        <v>0</v>
      </c>
      <c r="H19" s="728">
        <f>transport!G14</f>
        <v>44251.466024927417</v>
      </c>
      <c r="I19" s="728">
        <f>transport!H14</f>
        <v>11357.01238546907</v>
      </c>
      <c r="J19" s="728">
        <f>transport!I14</f>
        <v>0</v>
      </c>
      <c r="K19" s="728">
        <f>transport!J14</f>
        <v>0</v>
      </c>
      <c r="L19" s="728">
        <f>transport!K14</f>
        <v>0</v>
      </c>
      <c r="M19" s="728">
        <f>transport!L14</f>
        <v>0</v>
      </c>
      <c r="N19" s="728">
        <f>transport!M14</f>
        <v>2909.361781582018</v>
      </c>
      <c r="O19" s="728">
        <f>transport!N14</f>
        <v>0</v>
      </c>
      <c r="P19" s="728">
        <f>transport!O14</f>
        <v>0</v>
      </c>
      <c r="Q19" s="729">
        <f>transport!P14</f>
        <v>0</v>
      </c>
      <c r="R19" s="730">
        <f>SUM(C19:Q19)</f>
        <v>58746.246212133825</v>
      </c>
      <c r="S19" s="67"/>
    </row>
    <row r="20" spans="1:19" s="475" customFormat="1" ht="15.75" thickBot="1">
      <c r="A20" s="731" t="s">
        <v>230</v>
      </c>
      <c r="B20" s="879"/>
      <c r="C20" s="874">
        <f>SUM(C17:C19)</f>
        <v>9.5614577635359375</v>
      </c>
      <c r="D20" s="732">
        <f t="shared" ref="D20:R20" si="1">SUM(D17:D19)</f>
        <v>0</v>
      </c>
      <c r="E20" s="732">
        <f t="shared" si="1"/>
        <v>30.410499678500994</v>
      </c>
      <c r="F20" s="732">
        <f t="shared" si="1"/>
        <v>188.43406271328843</v>
      </c>
      <c r="G20" s="732">
        <f t="shared" si="1"/>
        <v>0</v>
      </c>
      <c r="H20" s="732">
        <f t="shared" si="1"/>
        <v>46598.409294315796</v>
      </c>
      <c r="I20" s="732">
        <f t="shared" si="1"/>
        <v>11357.01238546907</v>
      </c>
      <c r="J20" s="732">
        <f t="shared" si="1"/>
        <v>0</v>
      </c>
      <c r="K20" s="732">
        <f t="shared" si="1"/>
        <v>0</v>
      </c>
      <c r="L20" s="732">
        <f t="shared" si="1"/>
        <v>0</v>
      </c>
      <c r="M20" s="732">
        <f t="shared" si="1"/>
        <v>0</v>
      </c>
      <c r="N20" s="732">
        <f t="shared" si="1"/>
        <v>3043.2011145260194</v>
      </c>
      <c r="O20" s="732">
        <f t="shared" si="1"/>
        <v>0</v>
      </c>
      <c r="P20" s="732">
        <f t="shared" si="1"/>
        <v>0</v>
      </c>
      <c r="Q20" s="733">
        <f t="shared" si="1"/>
        <v>0</v>
      </c>
      <c r="R20" s="734">
        <f t="shared" si="1"/>
        <v>61227.028814466204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434.67805400000003</v>
      </c>
      <c r="D22" s="728">
        <f>+landbouw!C8</f>
        <v>0</v>
      </c>
      <c r="E22" s="728">
        <f>+landbouw!D8</f>
        <v>659.74812342171288</v>
      </c>
      <c r="F22" s="728">
        <f>+landbouw!E8</f>
        <v>4.0261701960523109</v>
      </c>
      <c r="G22" s="728">
        <f>+landbouw!F8</f>
        <v>1102.8610290823096</v>
      </c>
      <c r="H22" s="728">
        <f>+landbouw!G8</f>
        <v>0</v>
      </c>
      <c r="I22" s="728">
        <f>+landbouw!H8</f>
        <v>0</v>
      </c>
      <c r="J22" s="728">
        <f>+landbouw!I8</f>
        <v>0</v>
      </c>
      <c r="K22" s="728">
        <f>+landbouw!J8</f>
        <v>66.640996699440805</v>
      </c>
      <c r="L22" s="728">
        <f>+landbouw!K8</f>
        <v>0</v>
      </c>
      <c r="M22" s="728">
        <f>+landbouw!L8</f>
        <v>0</v>
      </c>
      <c r="N22" s="728">
        <f>+landbouw!M8</f>
        <v>0</v>
      </c>
      <c r="O22" s="728">
        <f>+landbouw!N8</f>
        <v>0</v>
      </c>
      <c r="P22" s="728">
        <f>+landbouw!O8</f>
        <v>0</v>
      </c>
      <c r="Q22" s="729">
        <f>+landbouw!P8</f>
        <v>0</v>
      </c>
      <c r="R22" s="730">
        <f>SUM(C22:Q22)</f>
        <v>2267.9543733995156</v>
      </c>
      <c r="S22" s="67"/>
    </row>
    <row r="23" spans="1:19" s="475" customFormat="1" ht="17.25" thickTop="1" thickBot="1">
      <c r="A23" s="735" t="s">
        <v>116</v>
      </c>
      <c r="B23" s="865"/>
      <c r="C23" s="736">
        <f ca="1">C20+C15+C22</f>
        <v>34270.835284441215</v>
      </c>
      <c r="D23" s="736">
        <f t="shared" ref="D23:Q23" ca="1" si="2">D20+D15+D22</f>
        <v>60.75</v>
      </c>
      <c r="E23" s="736">
        <f t="shared" ca="1" si="2"/>
        <v>32172.9756526909</v>
      </c>
      <c r="F23" s="736">
        <f t="shared" si="2"/>
        <v>3438.6416864170242</v>
      </c>
      <c r="G23" s="736">
        <f t="shared" ca="1" si="2"/>
        <v>37521.680871056124</v>
      </c>
      <c r="H23" s="736">
        <f t="shared" si="2"/>
        <v>46598.409294315796</v>
      </c>
      <c r="I23" s="736">
        <f t="shared" si="2"/>
        <v>11357.01238546907</v>
      </c>
      <c r="J23" s="736">
        <f t="shared" si="2"/>
        <v>0</v>
      </c>
      <c r="K23" s="736">
        <f t="shared" si="2"/>
        <v>192.1329037546999</v>
      </c>
      <c r="L23" s="736">
        <f t="shared" si="2"/>
        <v>0</v>
      </c>
      <c r="M23" s="736">
        <f t="shared" ca="1" si="2"/>
        <v>0</v>
      </c>
      <c r="N23" s="736">
        <f t="shared" si="2"/>
        <v>3043.2011145260194</v>
      </c>
      <c r="O23" s="736">
        <f t="shared" ca="1" si="2"/>
        <v>7412.4719113429092</v>
      </c>
      <c r="P23" s="736">
        <f t="shared" si="2"/>
        <v>161.02333333333334</v>
      </c>
      <c r="Q23" s="737">
        <f t="shared" si="2"/>
        <v>400.4</v>
      </c>
      <c r="R23" s="738">
        <f ca="1">R20+R15+R22</f>
        <v>176629.53443734706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2548.6243822607394</v>
      </c>
      <c r="D36" s="719">
        <f ca="1">tertiair!C20</f>
        <v>0</v>
      </c>
      <c r="E36" s="719">
        <f ca="1">tertiair!D20</f>
        <v>1487.3690783723196</v>
      </c>
      <c r="F36" s="719">
        <f>tertiair!E20</f>
        <v>12.35238412460358</v>
      </c>
      <c r="G36" s="719">
        <f ca="1">tertiair!F20</f>
        <v>390.93191091497692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4439.2777556726396</v>
      </c>
    </row>
    <row r="37" spans="1:18">
      <c r="A37" s="886" t="s">
        <v>225</v>
      </c>
      <c r="B37" s="893"/>
      <c r="C37" s="719">
        <f ca="1">huishoudens!B12</f>
        <v>3226.5734812086116</v>
      </c>
      <c r="D37" s="719">
        <f ca="1">huishoudens!C12</f>
        <v>0</v>
      </c>
      <c r="E37" s="719">
        <f>huishoudens!D12</f>
        <v>4749.6404018255862</v>
      </c>
      <c r="F37" s="719">
        <f>huishoudens!E12</f>
        <v>685.4932508779043</v>
      </c>
      <c r="G37" s="719">
        <f>huishoudens!F12</f>
        <v>9106.9969830049013</v>
      </c>
      <c r="H37" s="719">
        <f>huishoudens!G12</f>
        <v>0</v>
      </c>
      <c r="I37" s="719">
        <f>huishoudens!H12</f>
        <v>0</v>
      </c>
      <c r="J37" s="719">
        <f>huishoudens!I12</f>
        <v>0</v>
      </c>
      <c r="K37" s="719">
        <f>huishoudens!J12</f>
        <v>42.335695708297017</v>
      </c>
      <c r="L37" s="719">
        <f>huishoudens!K12</f>
        <v>0</v>
      </c>
      <c r="M37" s="719">
        <f>huishoudens!L12</f>
        <v>0</v>
      </c>
      <c r="N37" s="719">
        <f>huishoudens!M12</f>
        <v>0</v>
      </c>
      <c r="O37" s="719">
        <f>huishoudens!N12</f>
        <v>0</v>
      </c>
      <c r="P37" s="719">
        <f>huishoudens!O12</f>
        <v>0</v>
      </c>
      <c r="Q37" s="829">
        <f>huishoudens!P12</f>
        <v>0</v>
      </c>
      <c r="R37" s="918">
        <f ca="1">SUM(C37:Q37)</f>
        <v>17811.039812625302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207.87992954731092</v>
      </c>
      <c r="D39" s="719">
        <f ca="1">industrie!C22</f>
        <v>0</v>
      </c>
      <c r="E39" s="719">
        <f>industrie!D22</f>
        <v>122.51955977941242</v>
      </c>
      <c r="F39" s="719">
        <f>industrie!E22</f>
        <v>39.037554943736275</v>
      </c>
      <c r="G39" s="719">
        <f>industrie!F22</f>
        <v>225.89600388712921</v>
      </c>
      <c r="H39" s="719">
        <f>industrie!G22</f>
        <v>0</v>
      </c>
      <c r="I39" s="719">
        <f>industrie!H22</f>
        <v>0</v>
      </c>
      <c r="J39" s="719">
        <f>industrie!I22</f>
        <v>0</v>
      </c>
      <c r="K39" s="719">
        <f>industrie!J22</f>
        <v>2.0884393892646953</v>
      </c>
      <c r="L39" s="719">
        <f>industrie!K22</f>
        <v>0</v>
      </c>
      <c r="M39" s="719">
        <f>industrie!L22</f>
        <v>0</v>
      </c>
      <c r="N39" s="719">
        <f>industrie!M22</f>
        <v>0</v>
      </c>
      <c r="O39" s="719">
        <f>industrie!N22</f>
        <v>0</v>
      </c>
      <c r="P39" s="719">
        <f>industrie!O22</f>
        <v>0</v>
      </c>
      <c r="Q39" s="829">
        <f>industrie!P22</f>
        <v>0</v>
      </c>
      <c r="R39" s="919">
        <f ca="1">SUM(C39:Q39)</f>
        <v>597.42148754685354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5983.0777930166623</v>
      </c>
      <c r="D41" s="764">
        <f t="shared" ref="D41:R41" ca="1" si="4">SUM(D35:D40)</f>
        <v>0</v>
      </c>
      <c r="E41" s="764">
        <f t="shared" ca="1" si="4"/>
        <v>6359.5290399773185</v>
      </c>
      <c r="F41" s="764">
        <f t="shared" si="4"/>
        <v>736.8831899462441</v>
      </c>
      <c r="G41" s="764">
        <f t="shared" ca="1" si="4"/>
        <v>9723.8248978070078</v>
      </c>
      <c r="H41" s="764">
        <f t="shared" si="4"/>
        <v>0</v>
      </c>
      <c r="I41" s="764">
        <f t="shared" si="4"/>
        <v>0</v>
      </c>
      <c r="J41" s="764">
        <f t="shared" si="4"/>
        <v>0</v>
      </c>
      <c r="K41" s="764">
        <f t="shared" si="4"/>
        <v>44.42413509756171</v>
      </c>
      <c r="L41" s="764">
        <f t="shared" si="4"/>
        <v>0</v>
      </c>
      <c r="M41" s="764">
        <f t="shared" ca="1" si="4"/>
        <v>0</v>
      </c>
      <c r="N41" s="764">
        <f t="shared" si="4"/>
        <v>0</v>
      </c>
      <c r="O41" s="764">
        <f t="shared" ca="1" si="4"/>
        <v>0</v>
      </c>
      <c r="P41" s="764">
        <f t="shared" si="4"/>
        <v>0</v>
      </c>
      <c r="Q41" s="765">
        <f t="shared" si="4"/>
        <v>0</v>
      </c>
      <c r="R41" s="766">
        <f t="shared" ca="1" si="4"/>
        <v>22847.739055844795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626.63385292669682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626.63385292669682</v>
      </c>
    </row>
    <row r="45" spans="1:18" ht="15" thickBot="1">
      <c r="A45" s="889" t="s">
        <v>307</v>
      </c>
      <c r="B45" s="899"/>
      <c r="C45" s="728">
        <f ca="1">transport!B18</f>
        <v>1.6911824647777787</v>
      </c>
      <c r="D45" s="728">
        <f>transport!C18</f>
        <v>0</v>
      </c>
      <c r="E45" s="728">
        <f>transport!D18</f>
        <v>6.1429209350572007</v>
      </c>
      <c r="F45" s="728">
        <f>transport!E18</f>
        <v>42.774532235916475</v>
      </c>
      <c r="G45" s="728">
        <f>transport!F18</f>
        <v>0</v>
      </c>
      <c r="H45" s="728">
        <f>transport!G18</f>
        <v>11815.141428655621</v>
      </c>
      <c r="I45" s="728">
        <f>transport!H18</f>
        <v>2827.8960839817983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14693.646148273172</v>
      </c>
    </row>
    <row r="46" spans="1:18" ht="15.75" thickBot="1">
      <c r="A46" s="887" t="s">
        <v>230</v>
      </c>
      <c r="B46" s="900"/>
      <c r="C46" s="764">
        <f t="shared" ref="C46:R46" ca="1" si="5">SUM(C43:C45)</f>
        <v>1.6911824647777787</v>
      </c>
      <c r="D46" s="764">
        <f t="shared" ca="1" si="5"/>
        <v>0</v>
      </c>
      <c r="E46" s="764">
        <f t="shared" si="5"/>
        <v>6.1429209350572007</v>
      </c>
      <c r="F46" s="764">
        <f t="shared" si="5"/>
        <v>42.774532235916475</v>
      </c>
      <c r="G46" s="764">
        <f t="shared" si="5"/>
        <v>0</v>
      </c>
      <c r="H46" s="764">
        <f t="shared" si="5"/>
        <v>12441.775281582319</v>
      </c>
      <c r="I46" s="764">
        <f t="shared" si="5"/>
        <v>2827.8960839817983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15320.28000119987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76.883663655558806</v>
      </c>
      <c r="D48" s="719">
        <f ca="1">+landbouw!C12</f>
        <v>0</v>
      </c>
      <c r="E48" s="719">
        <f>+landbouw!D12</f>
        <v>133.26912093118602</v>
      </c>
      <c r="F48" s="719">
        <f>+landbouw!E12</f>
        <v>0.91394063450387464</v>
      </c>
      <c r="G48" s="719">
        <f>+landbouw!F12</f>
        <v>294.46389476497671</v>
      </c>
      <c r="H48" s="719">
        <f>+landbouw!G12</f>
        <v>0</v>
      </c>
      <c r="I48" s="719">
        <f>+landbouw!H12</f>
        <v>0</v>
      </c>
      <c r="J48" s="719">
        <f>+landbouw!I12</f>
        <v>0</v>
      </c>
      <c r="K48" s="719">
        <f>+landbouw!J12</f>
        <v>23.590912831602044</v>
      </c>
      <c r="L48" s="719">
        <f>+landbouw!K12</f>
        <v>0</v>
      </c>
      <c r="M48" s="719">
        <f>+landbouw!L12</f>
        <v>0</v>
      </c>
      <c r="N48" s="719">
        <f>+landbouw!M12</f>
        <v>0</v>
      </c>
      <c r="O48" s="719">
        <f>+landbouw!N12</f>
        <v>0</v>
      </c>
      <c r="P48" s="719">
        <f>+landbouw!O12</f>
        <v>0</v>
      </c>
      <c r="Q48" s="720">
        <f>+landbouw!P12</f>
        <v>0</v>
      </c>
      <c r="R48" s="762">
        <f ca="1">SUM(C48:Q48)</f>
        <v>529.12153281782741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6061.6526391369989</v>
      </c>
      <c r="D53" s="774">
        <f t="shared" ref="D53:Q53" ca="1" si="6">D41+D46+D48</f>
        <v>0</v>
      </c>
      <c r="E53" s="774">
        <f t="shared" ca="1" si="6"/>
        <v>6498.9410818435617</v>
      </c>
      <c r="F53" s="774">
        <f t="shared" si="6"/>
        <v>780.57166281666446</v>
      </c>
      <c r="G53" s="774">
        <f t="shared" ca="1" si="6"/>
        <v>10018.288792571984</v>
      </c>
      <c r="H53" s="774">
        <f t="shared" si="6"/>
        <v>12441.775281582319</v>
      </c>
      <c r="I53" s="774">
        <f t="shared" si="6"/>
        <v>2827.8960839817983</v>
      </c>
      <c r="J53" s="774">
        <f t="shared" si="6"/>
        <v>0</v>
      </c>
      <c r="K53" s="774">
        <f t="shared" si="6"/>
        <v>68.015047929163757</v>
      </c>
      <c r="L53" s="774">
        <f t="shared" si="6"/>
        <v>0</v>
      </c>
      <c r="M53" s="774">
        <f t="shared" ca="1" si="6"/>
        <v>0</v>
      </c>
      <c r="N53" s="774">
        <f t="shared" si="6"/>
        <v>0</v>
      </c>
      <c r="O53" s="774">
        <f t="shared" ca="1" si="6"/>
        <v>0</v>
      </c>
      <c r="P53" s="774">
        <f>P41+P46+P48</f>
        <v>0</v>
      </c>
      <c r="Q53" s="775">
        <f t="shared" si="6"/>
        <v>0</v>
      </c>
      <c r="R53" s="776">
        <f ca="1">R41+R46+R48</f>
        <v>38697.140589862494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0.17687496055542476</v>
      </c>
      <c r="D55" s="837">
        <f t="shared" ca="1" si="7"/>
        <v>0</v>
      </c>
      <c r="E55" s="837">
        <f t="shared" ca="1" si="7"/>
        <v>0.20199999999999999</v>
      </c>
      <c r="F55" s="837">
        <f t="shared" si="7"/>
        <v>0.22699999999999998</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1924.0427996584153</v>
      </c>
      <c r="C66" s="796">
        <f>'lokale energieproductie'!B6</f>
        <v>1924.0427996584153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54</v>
      </c>
      <c r="C67" s="795">
        <f>B67*IFERROR(SUM(J67:L67)/SUM(D67:M67),0)</f>
        <v>54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63.529411764705884</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4864.5</v>
      </c>
      <c r="C68" s="795">
        <f>B68*IFERROR(SUM(J68:L68)/SUM(D68:M68),0)</f>
        <v>4864.5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13898.571428571429</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6842.5427996584149</v>
      </c>
      <c r="C69" s="804">
        <f>SUM(C64:C68)</f>
        <v>6842.5427996584149</v>
      </c>
      <c r="D69" s="805">
        <f t="shared" ref="D69:M69" si="8">SUM(D67:D68)</f>
        <v>0</v>
      </c>
      <c r="E69" s="805">
        <f t="shared" si="8"/>
        <v>0</v>
      </c>
      <c r="F69" s="805">
        <f t="shared" si="8"/>
        <v>0</v>
      </c>
      <c r="G69" s="805">
        <f t="shared" si="8"/>
        <v>0</v>
      </c>
      <c r="H69" s="805">
        <f t="shared" si="8"/>
        <v>0</v>
      </c>
      <c r="I69" s="805">
        <f t="shared" si="8"/>
        <v>0</v>
      </c>
      <c r="J69" s="805">
        <f t="shared" si="8"/>
        <v>63.529411764705884</v>
      </c>
      <c r="K69" s="805">
        <f t="shared" si="8"/>
        <v>13898.571428571429</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60.75</v>
      </c>
      <c r="C78" s="818">
        <f>B78*IFERROR(SUM(I78:L78)/SUM(D78:M78),0)</f>
        <v>60.75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71.470588235294116</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60.75</v>
      </c>
      <c r="C81" s="804">
        <f>SUM(C78:C80)</f>
        <v>60.75</v>
      </c>
      <c r="D81" s="804">
        <f t="shared" ref="D81:P81" si="9">SUM(D78:D80)</f>
        <v>0</v>
      </c>
      <c r="E81" s="804">
        <f t="shared" si="9"/>
        <v>0</v>
      </c>
      <c r="F81" s="804">
        <f t="shared" si="9"/>
        <v>0</v>
      </c>
      <c r="G81" s="804">
        <f t="shared" si="9"/>
        <v>0</v>
      </c>
      <c r="H81" s="804">
        <f t="shared" si="9"/>
        <v>0</v>
      </c>
      <c r="I81" s="804">
        <f t="shared" si="9"/>
        <v>0</v>
      </c>
      <c r="J81" s="804">
        <f t="shared" si="9"/>
        <v>71.470588235294116</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18242.115622677677</v>
      </c>
      <c r="C4" s="479">
        <f>huishoudens!C8</f>
        <v>0</v>
      </c>
      <c r="D4" s="479">
        <f>huishoudens!D8</f>
        <v>23513.071296166268</v>
      </c>
      <c r="E4" s="479">
        <f>huishoudens!E8</f>
        <v>3019.794056730856</v>
      </c>
      <c r="F4" s="479">
        <f>huishoudens!F8</f>
        <v>34108.602932602626</v>
      </c>
      <c r="G4" s="479">
        <f>huishoudens!G8</f>
        <v>0</v>
      </c>
      <c r="H4" s="479">
        <f>huishoudens!H8</f>
        <v>0</v>
      </c>
      <c r="I4" s="479">
        <f>huishoudens!I8</f>
        <v>0</v>
      </c>
      <c r="J4" s="479">
        <f>huishoudens!J8</f>
        <v>119.59236075790119</v>
      </c>
      <c r="K4" s="479">
        <f>huishoudens!K8</f>
        <v>0</v>
      </c>
      <c r="L4" s="479">
        <f>huishoudens!L8</f>
        <v>0</v>
      </c>
      <c r="M4" s="479">
        <f>huishoudens!M8</f>
        <v>0</v>
      </c>
      <c r="N4" s="479">
        <f>huishoudens!N8</f>
        <v>7066.0328571651107</v>
      </c>
      <c r="O4" s="479">
        <f>huishoudens!O8</f>
        <v>156.33333333333334</v>
      </c>
      <c r="P4" s="480">
        <f>huishoudens!P8</f>
        <v>400.4</v>
      </c>
      <c r="Q4" s="481">
        <f>SUM(B4:P4)</f>
        <v>86625.942459433747</v>
      </c>
    </row>
    <row r="5" spans="1:17">
      <c r="A5" s="478" t="s">
        <v>156</v>
      </c>
      <c r="B5" s="479">
        <f ca="1">tertiair!B16</f>
        <v>13702.074000000001</v>
      </c>
      <c r="C5" s="479">
        <f ca="1">tertiair!C16</f>
        <v>60.75</v>
      </c>
      <c r="D5" s="479">
        <f ca="1">tertiair!D16</f>
        <v>7363.2132592689086</v>
      </c>
      <c r="E5" s="479">
        <f>tertiair!E16</f>
        <v>54.415789095169956</v>
      </c>
      <c r="F5" s="479">
        <f ca="1">tertiair!F16</f>
        <v>1464.1644603557188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0</v>
      </c>
      <c r="Q5" s="478">
        <f t="shared" ref="Q5:Q13" ca="1" si="0">SUM(B5:P5)</f>
        <v>22649.307508719794</v>
      </c>
    </row>
    <row r="6" spans="1:17">
      <c r="A6" s="478" t="s">
        <v>194</v>
      </c>
      <c r="B6" s="479">
        <f>'openbare verlichting'!B8</f>
        <v>707.11300000000006</v>
      </c>
      <c r="C6" s="479"/>
      <c r="D6" s="479"/>
      <c r="E6" s="479"/>
      <c r="F6" s="479"/>
      <c r="G6" s="479"/>
      <c r="H6" s="479"/>
      <c r="I6" s="479"/>
      <c r="J6" s="479"/>
      <c r="K6" s="479"/>
      <c r="L6" s="479"/>
      <c r="M6" s="479"/>
      <c r="N6" s="479"/>
      <c r="O6" s="479"/>
      <c r="P6" s="480"/>
      <c r="Q6" s="478">
        <f t="shared" si="0"/>
        <v>707.11300000000006</v>
      </c>
    </row>
    <row r="7" spans="1:17">
      <c r="A7" s="478" t="s">
        <v>112</v>
      </c>
      <c r="B7" s="479">
        <f>landbouw!B8</f>
        <v>434.67805400000003</v>
      </c>
      <c r="C7" s="479">
        <f>landbouw!C8</f>
        <v>0</v>
      </c>
      <c r="D7" s="479">
        <f>landbouw!D8</f>
        <v>659.74812342171288</v>
      </c>
      <c r="E7" s="479">
        <f>landbouw!E8</f>
        <v>4.0261701960523109</v>
      </c>
      <c r="F7" s="479">
        <f>landbouw!F8</f>
        <v>1102.8610290823096</v>
      </c>
      <c r="G7" s="479">
        <f>landbouw!G8</f>
        <v>0</v>
      </c>
      <c r="H7" s="479">
        <f>landbouw!H8</f>
        <v>0</v>
      </c>
      <c r="I7" s="479">
        <f>landbouw!I8</f>
        <v>0</v>
      </c>
      <c r="J7" s="479">
        <f>landbouw!J8</f>
        <v>66.640996699440805</v>
      </c>
      <c r="K7" s="479">
        <f>landbouw!K8</f>
        <v>0</v>
      </c>
      <c r="L7" s="479">
        <f>landbouw!L8</f>
        <v>0</v>
      </c>
      <c r="M7" s="479">
        <f>landbouw!M8</f>
        <v>0</v>
      </c>
      <c r="N7" s="479">
        <f>landbouw!N8</f>
        <v>0</v>
      </c>
      <c r="O7" s="479">
        <f>landbouw!O8</f>
        <v>0</v>
      </c>
      <c r="P7" s="480">
        <f>landbouw!P8</f>
        <v>0</v>
      </c>
      <c r="Q7" s="478">
        <f t="shared" si="0"/>
        <v>2267.9543733995156</v>
      </c>
    </row>
    <row r="8" spans="1:17">
      <c r="A8" s="478" t="s">
        <v>650</v>
      </c>
      <c r="B8" s="479">
        <f>industrie!B18</f>
        <v>1175.29315</v>
      </c>
      <c r="C8" s="479">
        <f>industrie!C18</f>
        <v>0</v>
      </c>
      <c r="D8" s="479">
        <f>industrie!D18</f>
        <v>606.53247415550697</v>
      </c>
      <c r="E8" s="479">
        <f>industrie!E18</f>
        <v>171.97160768165759</v>
      </c>
      <c r="F8" s="479">
        <f>industrie!F18</f>
        <v>846.05244901546519</v>
      </c>
      <c r="G8" s="479">
        <f>industrie!G18</f>
        <v>0</v>
      </c>
      <c r="H8" s="479">
        <f>industrie!H18</f>
        <v>0</v>
      </c>
      <c r="I8" s="479">
        <f>industrie!I18</f>
        <v>0</v>
      </c>
      <c r="J8" s="479">
        <f>industrie!J18</f>
        <v>5.8995462973578965</v>
      </c>
      <c r="K8" s="479">
        <f>industrie!K18</f>
        <v>0</v>
      </c>
      <c r="L8" s="479">
        <f>industrie!L18</f>
        <v>0</v>
      </c>
      <c r="M8" s="479">
        <f>industrie!M18</f>
        <v>0</v>
      </c>
      <c r="N8" s="479">
        <f>industrie!N18</f>
        <v>346.43905417779831</v>
      </c>
      <c r="O8" s="479">
        <f>industrie!O18</f>
        <v>0</v>
      </c>
      <c r="P8" s="480">
        <f>industrie!P18</f>
        <v>0</v>
      </c>
      <c r="Q8" s="478">
        <f t="shared" si="0"/>
        <v>3152.1882813277862</v>
      </c>
    </row>
    <row r="9" spans="1:17" s="484" customFormat="1">
      <c r="A9" s="482" t="s">
        <v>571</v>
      </c>
      <c r="B9" s="483">
        <f>transport!B14</f>
        <v>9.5614577635359375</v>
      </c>
      <c r="C9" s="483">
        <f>transport!C14</f>
        <v>0</v>
      </c>
      <c r="D9" s="483">
        <f>transport!D14</f>
        <v>30.410499678500994</v>
      </c>
      <c r="E9" s="483">
        <f>transport!E14</f>
        <v>188.43406271328843</v>
      </c>
      <c r="F9" s="483">
        <f>transport!F14</f>
        <v>0</v>
      </c>
      <c r="G9" s="483">
        <f>transport!G14</f>
        <v>44251.466024927417</v>
      </c>
      <c r="H9" s="483">
        <f>transport!H14</f>
        <v>11357.01238546907</v>
      </c>
      <c r="I9" s="483">
        <f>transport!I14</f>
        <v>0</v>
      </c>
      <c r="J9" s="483">
        <f>transport!J14</f>
        <v>0</v>
      </c>
      <c r="K9" s="483">
        <f>transport!K14</f>
        <v>0</v>
      </c>
      <c r="L9" s="483">
        <f>transport!L14</f>
        <v>0</v>
      </c>
      <c r="M9" s="483">
        <f>transport!M14</f>
        <v>2909.361781582018</v>
      </c>
      <c r="N9" s="483">
        <f>transport!N14</f>
        <v>0</v>
      </c>
      <c r="O9" s="483">
        <f>transport!O14</f>
        <v>0</v>
      </c>
      <c r="P9" s="483">
        <f>transport!P14</f>
        <v>0</v>
      </c>
      <c r="Q9" s="482">
        <f>SUM(B9:P9)</f>
        <v>58746.246212133825</v>
      </c>
    </row>
    <row r="10" spans="1:17">
      <c r="A10" s="478" t="s">
        <v>561</v>
      </c>
      <c r="B10" s="479">
        <f>transport!B54</f>
        <v>0</v>
      </c>
      <c r="C10" s="479">
        <f>transport!C54</f>
        <v>0</v>
      </c>
      <c r="D10" s="479">
        <f>transport!D54</f>
        <v>0</v>
      </c>
      <c r="E10" s="479">
        <f>transport!E54</f>
        <v>0</v>
      </c>
      <c r="F10" s="479">
        <f>transport!F54</f>
        <v>0</v>
      </c>
      <c r="G10" s="479">
        <f>transport!G54</f>
        <v>2346.9432693883773</v>
      </c>
      <c r="H10" s="479">
        <f>transport!H54</f>
        <v>0</v>
      </c>
      <c r="I10" s="479">
        <f>transport!I54</f>
        <v>0</v>
      </c>
      <c r="J10" s="479">
        <f>transport!J54</f>
        <v>0</v>
      </c>
      <c r="K10" s="479">
        <f>transport!K54</f>
        <v>0</v>
      </c>
      <c r="L10" s="479">
        <f>transport!L54</f>
        <v>0</v>
      </c>
      <c r="M10" s="479">
        <f>transport!M54</f>
        <v>133.83933294400148</v>
      </c>
      <c r="N10" s="479">
        <f>transport!N54</f>
        <v>0</v>
      </c>
      <c r="O10" s="479">
        <f>transport!O54</f>
        <v>0</v>
      </c>
      <c r="P10" s="480">
        <f>transport!P54</f>
        <v>0</v>
      </c>
      <c r="Q10" s="478">
        <f t="shared" si="0"/>
        <v>2480.7826023323787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34270.835284441215</v>
      </c>
      <c r="C14" s="489">
        <f t="shared" ref="C14:Q14" ca="1" si="1">SUM(C4:C13)</f>
        <v>60.75</v>
      </c>
      <c r="D14" s="489">
        <f t="shared" ca="1" si="1"/>
        <v>32172.9756526909</v>
      </c>
      <c r="E14" s="489">
        <f t="shared" si="1"/>
        <v>3438.6416864170242</v>
      </c>
      <c r="F14" s="489">
        <f t="shared" ca="1" si="1"/>
        <v>37521.680871056124</v>
      </c>
      <c r="G14" s="489">
        <f t="shared" si="1"/>
        <v>46598.409294315796</v>
      </c>
      <c r="H14" s="489">
        <f t="shared" si="1"/>
        <v>11357.01238546907</v>
      </c>
      <c r="I14" s="489">
        <f t="shared" si="1"/>
        <v>0</v>
      </c>
      <c r="J14" s="489">
        <f t="shared" si="1"/>
        <v>192.13290375469987</v>
      </c>
      <c r="K14" s="489">
        <f t="shared" si="1"/>
        <v>0</v>
      </c>
      <c r="L14" s="489">
        <f t="shared" ca="1" si="1"/>
        <v>0</v>
      </c>
      <c r="M14" s="489">
        <f t="shared" si="1"/>
        <v>3043.2011145260194</v>
      </c>
      <c r="N14" s="489">
        <f t="shared" ca="1" si="1"/>
        <v>7412.4719113429092</v>
      </c>
      <c r="O14" s="489">
        <f t="shared" si="1"/>
        <v>161.02333333333334</v>
      </c>
      <c r="P14" s="490">
        <f t="shared" si="1"/>
        <v>400.4</v>
      </c>
      <c r="Q14" s="490">
        <f t="shared" ca="1" si="1"/>
        <v>176629.53443734706</v>
      </c>
    </row>
    <row r="16" spans="1:17">
      <c r="A16" s="492" t="s">
        <v>566</v>
      </c>
      <c r="B16" s="842">
        <f ca="1">huishoudens!B10</f>
        <v>0.17687496055542476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3226.5734812086116</v>
      </c>
      <c r="C21" s="479">
        <f t="shared" ref="C21:C30" ca="1" si="3">C4*$C$16</f>
        <v>0</v>
      </c>
      <c r="D21" s="479">
        <f t="shared" ref="D21:D30" si="4">D4*$D$16</f>
        <v>4749.6404018255862</v>
      </c>
      <c r="E21" s="479">
        <f t="shared" ref="E21:E30" si="5">E4*$E$16</f>
        <v>685.4932508779043</v>
      </c>
      <c r="F21" s="479">
        <f t="shared" ref="F21:F30" si="6">F4*$F$16</f>
        <v>9106.9969830049013</v>
      </c>
      <c r="G21" s="479">
        <f t="shared" ref="G21:G30" si="7">G4*$G$16</f>
        <v>0</v>
      </c>
      <c r="H21" s="479">
        <f t="shared" ref="H21:H30" si="8">H4*$H$16</f>
        <v>0</v>
      </c>
      <c r="I21" s="479">
        <f t="shared" ref="I21:I30" si="9">I4*$I$16</f>
        <v>0</v>
      </c>
      <c r="J21" s="479">
        <f t="shared" ref="J21:J30" si="10">J4*$J$16</f>
        <v>42.335695708297017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17811.039812625302</v>
      </c>
    </row>
    <row r="22" spans="1:17">
      <c r="A22" s="478" t="s">
        <v>156</v>
      </c>
      <c r="B22" s="479">
        <f t="shared" ca="1" si="2"/>
        <v>2423.5537982775113</v>
      </c>
      <c r="C22" s="479">
        <f t="shared" ca="1" si="3"/>
        <v>0</v>
      </c>
      <c r="D22" s="479">
        <f t="shared" ca="1" si="4"/>
        <v>1487.3690783723196</v>
      </c>
      <c r="E22" s="479">
        <f t="shared" si="5"/>
        <v>12.35238412460358</v>
      </c>
      <c r="F22" s="479">
        <f t="shared" ca="1" si="6"/>
        <v>390.93191091497692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4314.2071716894116</v>
      </c>
    </row>
    <row r="23" spans="1:17">
      <c r="A23" s="478" t="s">
        <v>194</v>
      </c>
      <c r="B23" s="479">
        <f t="shared" ca="1" si="2"/>
        <v>125.07058398322808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125.07058398322808</v>
      </c>
    </row>
    <row r="24" spans="1:17">
      <c r="A24" s="478" t="s">
        <v>112</v>
      </c>
      <c r="B24" s="479">
        <f t="shared" ca="1" si="2"/>
        <v>76.883663655558806</v>
      </c>
      <c r="C24" s="479">
        <f t="shared" ca="1" si="3"/>
        <v>0</v>
      </c>
      <c r="D24" s="479">
        <f t="shared" si="4"/>
        <v>133.26912093118602</v>
      </c>
      <c r="E24" s="479">
        <f t="shared" si="5"/>
        <v>0.91394063450387464</v>
      </c>
      <c r="F24" s="479">
        <f t="shared" si="6"/>
        <v>294.46389476497671</v>
      </c>
      <c r="G24" s="479">
        <f t="shared" si="7"/>
        <v>0</v>
      </c>
      <c r="H24" s="479">
        <f t="shared" si="8"/>
        <v>0</v>
      </c>
      <c r="I24" s="479">
        <f t="shared" si="9"/>
        <v>0</v>
      </c>
      <c r="J24" s="479">
        <f t="shared" si="10"/>
        <v>23.590912831602044</v>
      </c>
      <c r="K24" s="479">
        <f t="shared" si="11"/>
        <v>0</v>
      </c>
      <c r="L24" s="479">
        <f t="shared" si="12"/>
        <v>0</v>
      </c>
      <c r="M24" s="479">
        <f t="shared" si="13"/>
        <v>0</v>
      </c>
      <c r="N24" s="479">
        <f t="shared" si="14"/>
        <v>0</v>
      </c>
      <c r="O24" s="479">
        <f t="shared" si="15"/>
        <v>0</v>
      </c>
      <c r="P24" s="480">
        <f t="shared" si="16"/>
        <v>0</v>
      </c>
      <c r="Q24" s="478">
        <f t="shared" ca="1" si="17"/>
        <v>529.12153281782741</v>
      </c>
    </row>
    <row r="25" spans="1:17">
      <c r="A25" s="478" t="s">
        <v>650</v>
      </c>
      <c r="B25" s="479">
        <f t="shared" ca="1" si="2"/>
        <v>207.87992954731092</v>
      </c>
      <c r="C25" s="479">
        <f t="shared" ca="1" si="3"/>
        <v>0</v>
      </c>
      <c r="D25" s="479">
        <f t="shared" si="4"/>
        <v>122.51955977941242</v>
      </c>
      <c r="E25" s="479">
        <f t="shared" si="5"/>
        <v>39.037554943736275</v>
      </c>
      <c r="F25" s="479">
        <f t="shared" si="6"/>
        <v>225.89600388712921</v>
      </c>
      <c r="G25" s="479">
        <f t="shared" si="7"/>
        <v>0</v>
      </c>
      <c r="H25" s="479">
        <f t="shared" si="8"/>
        <v>0</v>
      </c>
      <c r="I25" s="479">
        <f t="shared" si="9"/>
        <v>0</v>
      </c>
      <c r="J25" s="479">
        <f t="shared" si="10"/>
        <v>2.0884393892646953</v>
      </c>
      <c r="K25" s="479">
        <f t="shared" si="11"/>
        <v>0</v>
      </c>
      <c r="L25" s="479">
        <f t="shared" si="12"/>
        <v>0</v>
      </c>
      <c r="M25" s="479">
        <f t="shared" si="13"/>
        <v>0</v>
      </c>
      <c r="N25" s="479">
        <f t="shared" si="14"/>
        <v>0</v>
      </c>
      <c r="O25" s="479">
        <f t="shared" si="15"/>
        <v>0</v>
      </c>
      <c r="P25" s="480">
        <f t="shared" si="16"/>
        <v>0</v>
      </c>
      <c r="Q25" s="478">
        <f t="shared" ca="1" si="17"/>
        <v>597.42148754685354</v>
      </c>
    </row>
    <row r="26" spans="1:17" s="484" customFormat="1">
      <c r="A26" s="482" t="s">
        <v>571</v>
      </c>
      <c r="B26" s="836">
        <f t="shared" ca="1" si="2"/>
        <v>1.6911824647777787</v>
      </c>
      <c r="C26" s="483">
        <f t="shared" ca="1" si="3"/>
        <v>0</v>
      </c>
      <c r="D26" s="483">
        <f t="shared" si="4"/>
        <v>6.1429209350572007</v>
      </c>
      <c r="E26" s="483">
        <f t="shared" si="5"/>
        <v>42.774532235916475</v>
      </c>
      <c r="F26" s="483">
        <f t="shared" si="6"/>
        <v>0</v>
      </c>
      <c r="G26" s="483">
        <f t="shared" si="7"/>
        <v>11815.141428655621</v>
      </c>
      <c r="H26" s="483">
        <f t="shared" si="8"/>
        <v>2827.8960839817983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14693.646148273172</v>
      </c>
    </row>
    <row r="27" spans="1:17">
      <c r="A27" s="478" t="s">
        <v>561</v>
      </c>
      <c r="B27" s="479">
        <f t="shared" ca="1" si="2"/>
        <v>0</v>
      </c>
      <c r="C27" s="479">
        <f t="shared" ca="1" si="3"/>
        <v>0</v>
      </c>
      <c r="D27" s="479">
        <f t="shared" si="4"/>
        <v>0</v>
      </c>
      <c r="E27" s="479">
        <f t="shared" si="5"/>
        <v>0</v>
      </c>
      <c r="F27" s="479">
        <f t="shared" si="6"/>
        <v>0</v>
      </c>
      <c r="G27" s="479">
        <f t="shared" si="7"/>
        <v>626.63385292669682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626.63385292669682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6061.6526391369989</v>
      </c>
      <c r="C31" s="489">
        <f t="shared" ca="1" si="18"/>
        <v>0</v>
      </c>
      <c r="D31" s="489">
        <f t="shared" ca="1" si="18"/>
        <v>6498.9410818435617</v>
      </c>
      <c r="E31" s="489">
        <f t="shared" si="18"/>
        <v>780.57166281666446</v>
      </c>
      <c r="F31" s="489">
        <f t="shared" ca="1" si="18"/>
        <v>10018.288792571984</v>
      </c>
      <c r="G31" s="489">
        <f t="shared" si="18"/>
        <v>12441.775281582319</v>
      </c>
      <c r="H31" s="489">
        <f t="shared" si="18"/>
        <v>2827.8960839817983</v>
      </c>
      <c r="I31" s="489">
        <f t="shared" si="18"/>
        <v>0</v>
      </c>
      <c r="J31" s="489">
        <f t="shared" si="18"/>
        <v>68.015047929163757</v>
      </c>
      <c r="K31" s="489">
        <f t="shared" si="18"/>
        <v>0</v>
      </c>
      <c r="L31" s="489">
        <f t="shared" ca="1" si="18"/>
        <v>0</v>
      </c>
      <c r="M31" s="489">
        <f t="shared" si="18"/>
        <v>0</v>
      </c>
      <c r="N31" s="489">
        <f t="shared" ca="1" si="18"/>
        <v>0</v>
      </c>
      <c r="O31" s="489">
        <f t="shared" si="18"/>
        <v>0</v>
      </c>
      <c r="P31" s="490">
        <f t="shared" si="18"/>
        <v>0</v>
      </c>
      <c r="Q31" s="490">
        <f t="shared" ca="1" si="18"/>
        <v>38697.140589862487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0.17687496055542476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0.17687496055542476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0.17687496055542476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1859</v>
      </c>
    </row>
    <row r="15" spans="1:6">
      <c r="A15" s="348" t="s">
        <v>184</v>
      </c>
      <c r="B15" s="334">
        <v>5</v>
      </c>
    </row>
    <row r="16" spans="1:6">
      <c r="A16" s="348" t="s">
        <v>6</v>
      </c>
      <c r="B16" s="334">
        <v>364</v>
      </c>
    </row>
    <row r="17" spans="1:6">
      <c r="A17" s="348" t="s">
        <v>7</v>
      </c>
      <c r="B17" s="334">
        <v>414</v>
      </c>
    </row>
    <row r="18" spans="1:6">
      <c r="A18" s="348" t="s">
        <v>8</v>
      </c>
      <c r="B18" s="334">
        <v>578</v>
      </c>
    </row>
    <row r="19" spans="1:6">
      <c r="A19" s="348" t="s">
        <v>9</v>
      </c>
      <c r="B19" s="334">
        <v>524</v>
      </c>
    </row>
    <row r="20" spans="1:6">
      <c r="A20" s="348" t="s">
        <v>10</v>
      </c>
      <c r="B20" s="334">
        <v>462</v>
      </c>
    </row>
    <row r="21" spans="1:6">
      <c r="A21" s="348" t="s">
        <v>11</v>
      </c>
      <c r="B21" s="334">
        <v>0</v>
      </c>
    </row>
    <row r="22" spans="1:6">
      <c r="A22" s="348" t="s">
        <v>12</v>
      </c>
      <c r="B22" s="334">
        <v>786</v>
      </c>
    </row>
    <row r="23" spans="1:6">
      <c r="A23" s="348" t="s">
        <v>13</v>
      </c>
      <c r="B23" s="334">
        <v>0</v>
      </c>
    </row>
    <row r="24" spans="1:6">
      <c r="A24" s="348" t="s">
        <v>14</v>
      </c>
      <c r="B24" s="334">
        <v>0</v>
      </c>
    </row>
    <row r="25" spans="1:6">
      <c r="A25" s="348" t="s">
        <v>15</v>
      </c>
      <c r="B25" s="334">
        <v>0</v>
      </c>
    </row>
    <row r="26" spans="1:6">
      <c r="A26" s="348" t="s">
        <v>16</v>
      </c>
      <c r="B26" s="334">
        <v>265</v>
      </c>
    </row>
    <row r="27" spans="1:6">
      <c r="A27" s="348" t="s">
        <v>17</v>
      </c>
      <c r="B27" s="334">
        <v>1</v>
      </c>
    </row>
    <row r="28" spans="1:6" s="356" customFormat="1">
      <c r="A28" s="355" t="s">
        <v>18</v>
      </c>
      <c r="B28" s="355">
        <v>22</v>
      </c>
    </row>
    <row r="29" spans="1:6">
      <c r="A29" s="355" t="s">
        <v>828</v>
      </c>
      <c r="B29" s="355">
        <v>66</v>
      </c>
      <c r="C29" s="356"/>
      <c r="D29" s="356"/>
      <c r="E29" s="356"/>
      <c r="F29" s="356"/>
    </row>
    <row r="30" spans="1:6">
      <c r="A30" s="341" t="s">
        <v>829</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10509.61</v>
      </c>
    </row>
    <row r="37" spans="1:6">
      <c r="A37" s="348" t="s">
        <v>25</v>
      </c>
      <c r="B37" s="348" t="s">
        <v>28</v>
      </c>
      <c r="C37" s="334">
        <v>0</v>
      </c>
      <c r="D37" s="334">
        <v>0</v>
      </c>
      <c r="E37" s="334">
        <v>0</v>
      </c>
      <c r="F37" s="334">
        <v>0</v>
      </c>
    </row>
    <row r="38" spans="1:6">
      <c r="A38" s="348" t="s">
        <v>25</v>
      </c>
      <c r="B38" s="348" t="s">
        <v>29</v>
      </c>
      <c r="C38" s="334">
        <v>0</v>
      </c>
      <c r="D38" s="334">
        <v>0</v>
      </c>
      <c r="E38" s="334">
        <v>1</v>
      </c>
      <c r="F38" s="334">
        <v>0</v>
      </c>
    </row>
    <row r="39" spans="1:6">
      <c r="A39" s="348" t="s">
        <v>30</v>
      </c>
      <c r="B39" s="348" t="s">
        <v>31</v>
      </c>
      <c r="C39" s="334">
        <v>1445</v>
      </c>
      <c r="D39" s="334">
        <v>26067706.536769699</v>
      </c>
      <c r="E39" s="334">
        <v>3591</v>
      </c>
      <c r="F39" s="334">
        <v>16412965</v>
      </c>
    </row>
    <row r="40" spans="1:6">
      <c r="A40" s="348" t="s">
        <v>30</v>
      </c>
      <c r="B40" s="348" t="s">
        <v>29</v>
      </c>
      <c r="C40" s="334">
        <v>0</v>
      </c>
      <c r="D40" s="334">
        <v>0</v>
      </c>
      <c r="E40" s="334">
        <v>0</v>
      </c>
      <c r="F40" s="334">
        <v>0</v>
      </c>
    </row>
    <row r="41" spans="1:6">
      <c r="A41" s="348" t="s">
        <v>32</v>
      </c>
      <c r="B41" s="348" t="s">
        <v>33</v>
      </c>
      <c r="C41" s="334">
        <v>3</v>
      </c>
      <c r="D41" s="334">
        <v>90693.305265250805</v>
      </c>
      <c r="E41" s="334">
        <v>59</v>
      </c>
      <c r="F41" s="334">
        <v>533425.6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21556.45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278556.60724227101</v>
      </c>
      <c r="E48" s="334">
        <v>22</v>
      </c>
      <c r="F48" s="334">
        <v>453265.5</v>
      </c>
    </row>
    <row r="49" spans="1:6">
      <c r="A49" s="348" t="s">
        <v>32</v>
      </c>
      <c r="B49" s="348" t="s">
        <v>40</v>
      </c>
      <c r="C49" s="334">
        <v>0</v>
      </c>
      <c r="D49" s="334">
        <v>0</v>
      </c>
      <c r="E49" s="334">
        <v>0</v>
      </c>
      <c r="F49" s="334">
        <v>0</v>
      </c>
    </row>
    <row r="50" spans="1:6">
      <c r="A50" s="348" t="s">
        <v>32</v>
      </c>
      <c r="B50" s="348" t="s">
        <v>41</v>
      </c>
      <c r="C50" s="334">
        <v>3</v>
      </c>
      <c r="D50" s="334">
        <v>303180.768374415</v>
      </c>
      <c r="E50" s="334">
        <v>5</v>
      </c>
      <c r="F50" s="334">
        <v>167045.6</v>
      </c>
    </row>
    <row r="51" spans="1:6">
      <c r="A51" s="348" t="s">
        <v>42</v>
      </c>
      <c r="B51" s="348" t="s">
        <v>43</v>
      </c>
      <c r="C51" s="334">
        <v>4</v>
      </c>
      <c r="D51" s="334">
        <v>58994.582902790098</v>
      </c>
      <c r="E51" s="334">
        <v>49</v>
      </c>
      <c r="F51" s="334">
        <v>427050.8</v>
      </c>
    </row>
    <row r="52" spans="1:6">
      <c r="A52" s="348" t="s">
        <v>42</v>
      </c>
      <c r="B52" s="348" t="s">
        <v>29</v>
      </c>
      <c r="C52" s="334">
        <v>1</v>
      </c>
      <c r="D52" s="334">
        <v>14037.655662654901</v>
      </c>
      <c r="E52" s="334">
        <v>2</v>
      </c>
      <c r="F52" s="334">
        <v>7627.2539999999999</v>
      </c>
    </row>
    <row r="53" spans="1:6">
      <c r="A53" s="348" t="s">
        <v>44</v>
      </c>
      <c r="B53" s="348" t="s">
        <v>45</v>
      </c>
      <c r="C53" s="334">
        <v>38</v>
      </c>
      <c r="D53" s="334">
        <v>658395.83618146495</v>
      </c>
      <c r="E53" s="334">
        <v>119</v>
      </c>
      <c r="F53" s="334">
        <v>622258.9</v>
      </c>
    </row>
    <row r="54" spans="1:6">
      <c r="A54" s="348" t="s">
        <v>46</v>
      </c>
      <c r="B54" s="348" t="s">
        <v>47</v>
      </c>
      <c r="C54" s="334">
        <v>0</v>
      </c>
      <c r="D54" s="334">
        <v>0</v>
      </c>
      <c r="E54" s="334">
        <v>1</v>
      </c>
      <c r="F54" s="334">
        <v>707113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457775.49455980898</v>
      </c>
      <c r="E57" s="334">
        <v>38</v>
      </c>
      <c r="F57" s="334">
        <v>3332695</v>
      </c>
    </row>
    <row r="58" spans="1:6">
      <c r="A58" s="348" t="s">
        <v>49</v>
      </c>
      <c r="B58" s="348" t="s">
        <v>51</v>
      </c>
      <c r="C58" s="334">
        <v>4</v>
      </c>
      <c r="D58" s="334">
        <v>113412.18995966201</v>
      </c>
      <c r="E58" s="334">
        <v>14</v>
      </c>
      <c r="F58" s="334">
        <v>1019230</v>
      </c>
    </row>
    <row r="59" spans="1:6">
      <c r="A59" s="348" t="s">
        <v>49</v>
      </c>
      <c r="B59" s="348" t="s">
        <v>52</v>
      </c>
      <c r="C59" s="334">
        <v>13</v>
      </c>
      <c r="D59" s="334">
        <v>431926.27674810798</v>
      </c>
      <c r="E59" s="334">
        <v>57</v>
      </c>
      <c r="F59" s="334">
        <v>1462497</v>
      </c>
    </row>
    <row r="60" spans="1:6">
      <c r="A60" s="348" t="s">
        <v>49</v>
      </c>
      <c r="B60" s="348" t="s">
        <v>53</v>
      </c>
      <c r="C60" s="334">
        <v>7</v>
      </c>
      <c r="D60" s="334">
        <v>260436.28988153601</v>
      </c>
      <c r="E60" s="334">
        <v>22</v>
      </c>
      <c r="F60" s="334">
        <v>271666.8</v>
      </c>
    </row>
    <row r="61" spans="1:6">
      <c r="A61" s="348" t="s">
        <v>49</v>
      </c>
      <c r="B61" s="348" t="s">
        <v>54</v>
      </c>
      <c r="C61" s="334">
        <v>66</v>
      </c>
      <c r="D61" s="334">
        <v>3118447.2362291701</v>
      </c>
      <c r="E61" s="334">
        <v>154</v>
      </c>
      <c r="F61" s="334">
        <v>1495845</v>
      </c>
    </row>
    <row r="62" spans="1:6">
      <c r="A62" s="348" t="s">
        <v>49</v>
      </c>
      <c r="B62" s="348" t="s">
        <v>55</v>
      </c>
      <c r="C62" s="334">
        <v>0</v>
      </c>
      <c r="D62" s="334">
        <v>0</v>
      </c>
      <c r="E62" s="334">
        <v>3</v>
      </c>
      <c r="F62" s="334">
        <v>15215.2</v>
      </c>
    </row>
    <row r="63" spans="1:6">
      <c r="A63" s="348" t="s">
        <v>49</v>
      </c>
      <c r="B63" s="348" t="s">
        <v>29</v>
      </c>
      <c r="C63" s="334">
        <v>64</v>
      </c>
      <c r="D63" s="334">
        <v>3781210.1171327</v>
      </c>
      <c r="E63" s="334">
        <v>77</v>
      </c>
      <c r="F63" s="334">
        <v>1186425</v>
      </c>
    </row>
    <row r="64" spans="1:6">
      <c r="A64" s="348" t="s">
        <v>56</v>
      </c>
      <c r="B64" s="348" t="s">
        <v>57</v>
      </c>
      <c r="C64" s="334">
        <v>0</v>
      </c>
      <c r="D64" s="334">
        <v>0</v>
      </c>
      <c r="E64" s="334">
        <v>0</v>
      </c>
      <c r="F64" s="334">
        <v>0</v>
      </c>
    </row>
    <row r="65" spans="1:6">
      <c r="A65" s="348" t="s">
        <v>56</v>
      </c>
      <c r="B65" s="348" t="s">
        <v>29</v>
      </c>
      <c r="C65" s="334">
        <v>1</v>
      </c>
      <c r="D65" s="334">
        <v>34613.355262025398</v>
      </c>
      <c r="E65" s="334">
        <v>2</v>
      </c>
      <c r="F65" s="334">
        <v>137084.6</v>
      </c>
    </row>
    <row r="66" spans="1:6">
      <c r="A66" s="348" t="s">
        <v>56</v>
      </c>
      <c r="B66" s="348" t="s">
        <v>58</v>
      </c>
      <c r="C66" s="334">
        <v>0</v>
      </c>
      <c r="D66" s="334">
        <v>0</v>
      </c>
      <c r="E66" s="334">
        <v>4</v>
      </c>
      <c r="F66" s="334">
        <v>30779.4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35730992</v>
      </c>
      <c r="E73" s="477">
        <v>36760845.94896052</v>
      </c>
    </row>
    <row r="74" spans="1:6">
      <c r="A74" s="348" t="s">
        <v>64</v>
      </c>
      <c r="B74" s="348" t="s">
        <v>714</v>
      </c>
      <c r="C74" s="1229" t="s">
        <v>716</v>
      </c>
      <c r="D74" s="477">
        <v>1458794.8305473237</v>
      </c>
      <c r="E74" s="477">
        <v>1515976.5475850035</v>
      </c>
    </row>
    <row r="75" spans="1:6">
      <c r="A75" s="348" t="s">
        <v>65</v>
      </c>
      <c r="B75" s="348" t="s">
        <v>713</v>
      </c>
      <c r="C75" s="1229" t="s">
        <v>717</v>
      </c>
      <c r="D75" s="477">
        <v>34033416</v>
      </c>
      <c r="E75" s="477">
        <v>35138164.25915087</v>
      </c>
    </row>
    <row r="76" spans="1:6">
      <c r="A76" s="348" t="s">
        <v>65</v>
      </c>
      <c r="B76" s="348" t="s">
        <v>714</v>
      </c>
      <c r="C76" s="1229" t="s">
        <v>718</v>
      </c>
      <c r="D76" s="477">
        <v>870761.83054732368</v>
      </c>
      <c r="E76" s="477">
        <v>916731.01527965406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662924.33890535252</v>
      </c>
      <c r="C83" s="477">
        <v>658961.78299282189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1829.1506226776773</v>
      </c>
    </row>
    <row r="92" spans="1:6">
      <c r="A92" s="341" t="s">
        <v>69</v>
      </c>
      <c r="B92" s="342">
        <v>94.892176980738029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3</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34270.835284441215</v>
      </c>
      <c r="C3" s="43" t="s">
        <v>170</v>
      </c>
      <c r="D3" s="43"/>
      <c r="E3" s="154"/>
      <c r="F3" s="43"/>
      <c r="G3" s="43"/>
      <c r="H3" s="43"/>
      <c r="I3" s="43"/>
      <c r="J3" s="43"/>
      <c r="K3" s="96"/>
    </row>
    <row r="4" spans="1:11">
      <c r="A4" s="384" t="s">
        <v>171</v>
      </c>
      <c r="B4" s="49">
        <f>IF(ISERROR('SEAP template'!B69),0,'SEAP template'!B69)</f>
        <v>6842.5427996584149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0.17687496055542476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707.11300000000006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707.11300000000006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0.17687496055542476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125.07058398322808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16412.965</v>
      </c>
      <c r="C5" s="17">
        <f>IF(ISERROR('Eigen informatie GS &amp; warmtenet'!B57),0,'Eigen informatie GS &amp; warmtenet'!B57)</f>
        <v>0</v>
      </c>
      <c r="D5" s="30">
        <f>(SUM(HH_hh_gas_kWh,HH_rest_gas_kWh)/1000)*0.902</f>
        <v>23513.071296166268</v>
      </c>
      <c r="E5" s="17">
        <f>B46*B57</f>
        <v>3019.794056730856</v>
      </c>
      <c r="F5" s="17">
        <f>B51*B62</f>
        <v>34108.602932602626</v>
      </c>
      <c r="G5" s="18"/>
      <c r="H5" s="17"/>
      <c r="I5" s="17"/>
      <c r="J5" s="17">
        <f>B50*B61+C50*C61</f>
        <v>119.59236075790119</v>
      </c>
      <c r="K5" s="17"/>
      <c r="L5" s="17"/>
      <c r="M5" s="17"/>
      <c r="N5" s="17">
        <f>B48*B59+C48*C59</f>
        <v>7066.0328571651107</v>
      </c>
      <c r="O5" s="17">
        <f>B69*B70*B71</f>
        <v>156.33333333333334</v>
      </c>
      <c r="P5" s="17">
        <f>B77*B78*B79/1000-B77*B78*B79/1000/B80</f>
        <v>400.4</v>
      </c>
    </row>
    <row r="6" spans="1:16">
      <c r="A6" s="16" t="s">
        <v>631</v>
      </c>
      <c r="B6" s="844">
        <f>kWh_PV_kleiner_dan_10kW</f>
        <v>1829.1506226776773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18242.115622677677</v>
      </c>
      <c r="C8" s="21">
        <f>C5</f>
        <v>0</v>
      </c>
      <c r="D8" s="21">
        <f>D5</f>
        <v>23513.071296166268</v>
      </c>
      <c r="E8" s="21">
        <f>E5</f>
        <v>3019.794056730856</v>
      </c>
      <c r="F8" s="21">
        <f>F5</f>
        <v>34108.602932602626</v>
      </c>
      <c r="G8" s="21"/>
      <c r="H8" s="21"/>
      <c r="I8" s="21"/>
      <c r="J8" s="21">
        <f>J5</f>
        <v>119.59236075790119</v>
      </c>
      <c r="K8" s="21"/>
      <c r="L8" s="21">
        <f>L5</f>
        <v>0</v>
      </c>
      <c r="M8" s="21">
        <f>M5</f>
        <v>0</v>
      </c>
      <c r="N8" s="21">
        <f>N5</f>
        <v>7066.0328571651107</v>
      </c>
      <c r="O8" s="21">
        <f>O5</f>
        <v>156.33333333333334</v>
      </c>
      <c r="P8" s="21">
        <f>P5</f>
        <v>400.4</v>
      </c>
    </row>
    <row r="9" spans="1:16">
      <c r="B9" s="19"/>
      <c r="C9" s="19"/>
      <c r="D9" s="258"/>
      <c r="E9" s="19"/>
      <c r="F9" s="19"/>
      <c r="G9" s="19"/>
      <c r="H9" s="19"/>
      <c r="I9" s="19"/>
      <c r="J9" s="19"/>
      <c r="K9" s="19"/>
      <c r="L9" s="19"/>
      <c r="M9" s="19"/>
      <c r="N9" s="19"/>
      <c r="O9" s="19"/>
      <c r="P9" s="19"/>
    </row>
    <row r="10" spans="1:16">
      <c r="A10" s="24" t="s">
        <v>214</v>
      </c>
      <c r="B10" s="25">
        <f ca="1">'EF ele_warmte'!B12</f>
        <v>0.17687496055542476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3226.5734812086116</v>
      </c>
      <c r="C12" s="23">
        <f ca="1">C10*C8</f>
        <v>0</v>
      </c>
      <c r="D12" s="23">
        <f>D8*D10</f>
        <v>4749.6404018255862</v>
      </c>
      <c r="E12" s="23">
        <f>E10*E8</f>
        <v>685.4932508779043</v>
      </c>
      <c r="F12" s="23">
        <f>F10*F8</f>
        <v>9106.9969830049013</v>
      </c>
      <c r="G12" s="23"/>
      <c r="H12" s="23"/>
      <c r="I12" s="23"/>
      <c r="J12" s="23">
        <f>J10*J8</f>
        <v>42.335695708297017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1445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1445</v>
      </c>
      <c r="C32" s="167">
        <f>IF(ISERROR(B32/SUM($B$32,$B$34,$B$35,$B$36,$B$38,$B$39)*100),0,B32/SUM($B$32,$B$34,$B$35,$B$36,$B$38,$B$39)*100)</f>
        <v>38.698446705945372</v>
      </c>
      <c r="D32" s="233"/>
      <c r="G32" s="15"/>
    </row>
    <row r="33" spans="1:7">
      <c r="A33" s="171" t="s">
        <v>72</v>
      </c>
      <c r="B33" s="34" t="s">
        <v>111</v>
      </c>
      <c r="C33" s="167"/>
      <c r="D33" s="233"/>
      <c r="G33" s="15"/>
    </row>
    <row r="34" spans="1:7">
      <c r="A34" s="171" t="s">
        <v>73</v>
      </c>
      <c r="B34" s="33">
        <f>IF((($B$28-$B$32-$B$39-$B$77-$B$38)*C20/100)&lt;0,0,($B$28-$B$32-$B$39-$B$77-$B$38)*C20/100)</f>
        <v>202.39234449760767</v>
      </c>
      <c r="C34" s="167">
        <f>IF(ISERROR(B34/SUM($B$32,$B$34,$B$35,$B$36,$B$38,$B$39)*100),0,B34/SUM($B$32,$B$34,$B$35,$B$36,$B$38,$B$39)*100)</f>
        <v>5.4202556105411812</v>
      </c>
      <c r="D34" s="233"/>
      <c r="G34" s="15"/>
    </row>
    <row r="35" spans="1:7">
      <c r="A35" s="171" t="s">
        <v>74</v>
      </c>
      <c r="B35" s="33">
        <f>IF((($B$28-$B$32-$B$39-$B$77-$B$38)*C21/100)&lt;0,0,($B$28-$B$32-$B$39-$B$77-$B$38)*C21/100)</f>
        <v>572.72727272727275</v>
      </c>
      <c r="C35" s="167">
        <f>IF(ISERROR(B35/SUM($B$32,$B$34,$B$35,$B$36,$B$38,$B$39)*100),0,B35/SUM($B$32,$B$34,$B$35,$B$36,$B$38,$B$39)*100)</f>
        <v>15.338170131956957</v>
      </c>
      <c r="D35" s="233"/>
      <c r="G35" s="15"/>
    </row>
    <row r="36" spans="1:7">
      <c r="A36" s="171" t="s">
        <v>75</v>
      </c>
      <c r="B36" s="33">
        <f>IF((($B$28-$B$32-$B$39-$B$77-$B$38)*C22/100)&lt;0,0,($B$28-$B$32-$B$39-$B$77-$B$38)*C22/100)</f>
        <v>124.88038277511963</v>
      </c>
      <c r="C36" s="167">
        <f>IF(ISERROR(B36/SUM($B$32,$B$34,$B$35,$B$36,$B$38,$B$39)*100),0,B36/SUM($B$32,$B$34,$B$35,$B$36,$B$38,$B$39)*100)</f>
        <v>3.3444130362913667</v>
      </c>
      <c r="D36" s="233"/>
      <c r="G36" s="15"/>
    </row>
    <row r="37" spans="1:7">
      <c r="A37" s="171" t="s">
        <v>76</v>
      </c>
      <c r="B37" s="34" t="s">
        <v>111</v>
      </c>
      <c r="C37" s="167"/>
      <c r="D37" s="173"/>
      <c r="G37" s="15"/>
    </row>
    <row r="38" spans="1:7">
      <c r="A38" s="171" t="s">
        <v>77</v>
      </c>
      <c r="B38" s="33">
        <f>IF((B24-(B29-B18)*0.1)&lt;0,0,B24-(B29-B18)*0.1)</f>
        <v>3.3999999999999915</v>
      </c>
      <c r="C38" s="167">
        <f>IF(ISERROR(B38/SUM($B$32,$B$34,$B$35,$B$36,$B$38,$B$39)*100),0,B38/SUM($B$32,$B$34,$B$35,$B$36,$B$38,$B$39)*100)</f>
        <v>9.1055168719871238E-2</v>
      </c>
      <c r="D38" s="234"/>
      <c r="G38" s="15"/>
    </row>
    <row r="39" spans="1:7">
      <c r="A39" s="171" t="s">
        <v>78</v>
      </c>
      <c r="B39" s="33">
        <f>IF((B25-(B29-B18))&lt;0,0,B25-(B29-B18)*0.9)</f>
        <v>1385.6</v>
      </c>
      <c r="C39" s="167">
        <f>IF(ISERROR(B39/SUM($B$32,$B$34,$B$35,$B$36,$B$38,$B$39)*100),0,B39/SUM($B$32,$B$34,$B$35,$B$36,$B$38,$B$39)*100)</f>
        <v>37.107659346545262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1445</v>
      </c>
      <c r="C44" s="34" t="s">
        <v>111</v>
      </c>
      <c r="D44" s="174"/>
    </row>
    <row r="45" spans="1:7">
      <c r="A45" s="171" t="s">
        <v>72</v>
      </c>
      <c r="B45" s="33" t="str">
        <f t="shared" si="0"/>
        <v>-</v>
      </c>
      <c r="C45" s="34" t="s">
        <v>111</v>
      </c>
      <c r="D45" s="174"/>
    </row>
    <row r="46" spans="1:7">
      <c r="A46" s="171" t="s">
        <v>73</v>
      </c>
      <c r="B46" s="33">
        <f t="shared" si="0"/>
        <v>202.39234449760767</v>
      </c>
      <c r="C46" s="34" t="s">
        <v>111</v>
      </c>
      <c r="D46" s="174"/>
    </row>
    <row r="47" spans="1:7">
      <c r="A47" s="171" t="s">
        <v>74</v>
      </c>
      <c r="B47" s="33">
        <f t="shared" si="0"/>
        <v>572.72727272727275</v>
      </c>
      <c r="C47" s="34" t="s">
        <v>111</v>
      </c>
      <c r="D47" s="174"/>
    </row>
    <row r="48" spans="1:7">
      <c r="A48" s="171" t="s">
        <v>75</v>
      </c>
      <c r="B48" s="33">
        <f t="shared" si="0"/>
        <v>124.88038277511963</v>
      </c>
      <c r="C48" s="33">
        <f>B48*10</f>
        <v>1248.8038277511962</v>
      </c>
      <c r="D48" s="234"/>
    </row>
    <row r="49" spans="1:6">
      <c r="A49" s="171" t="s">
        <v>76</v>
      </c>
      <c r="B49" s="33" t="str">
        <f t="shared" si="0"/>
        <v>-</v>
      </c>
      <c r="C49" s="34" t="s">
        <v>111</v>
      </c>
      <c r="D49" s="234"/>
    </row>
    <row r="50" spans="1:6">
      <c r="A50" s="171" t="s">
        <v>77</v>
      </c>
      <c r="B50" s="33">
        <f t="shared" si="0"/>
        <v>3.3999999999999915</v>
      </c>
      <c r="C50" s="33">
        <f>B50*2</f>
        <v>6.7999999999999829</v>
      </c>
      <c r="D50" s="234"/>
    </row>
    <row r="51" spans="1:6">
      <c r="A51" s="171" t="s">
        <v>78</v>
      </c>
      <c r="B51" s="33">
        <f t="shared" si="0"/>
        <v>1385.6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8783.5740000000005</v>
      </c>
      <c r="C5" s="17">
        <f>IF(ISERROR('Eigen informatie GS &amp; warmtenet'!B58),0,'Eigen informatie GS &amp; warmtenet'!B58)</f>
        <v>0</v>
      </c>
      <c r="D5" s="30">
        <f>SUM(D6:D12)</f>
        <v>7363.2132592689086</v>
      </c>
      <c r="E5" s="17">
        <f>SUM(E6:E12)</f>
        <v>54.415789095169956</v>
      </c>
      <c r="F5" s="17">
        <f>SUM(F6:F12)</f>
        <v>1464.1644603557188</v>
      </c>
      <c r="G5" s="18"/>
      <c r="H5" s="17"/>
      <c r="I5" s="17"/>
      <c r="J5" s="17">
        <f>SUM(J6:J12)</f>
        <v>0</v>
      </c>
      <c r="K5" s="17"/>
      <c r="L5" s="17"/>
      <c r="M5" s="17"/>
      <c r="N5" s="17">
        <f>SUM(N6:N12)</f>
        <v>2483.9091296048741</v>
      </c>
      <c r="O5" s="17">
        <f>B38*B39*B40</f>
        <v>4.6900000000000004</v>
      </c>
      <c r="P5" s="17">
        <f>B46*B47*B48/1000-B46*B47*B48/1000/B49</f>
        <v>0</v>
      </c>
      <c r="R5" s="32"/>
    </row>
    <row r="6" spans="1:18">
      <c r="A6" s="32" t="s">
        <v>54</v>
      </c>
      <c r="B6" s="37">
        <f>B26</f>
        <v>1495.845</v>
      </c>
      <c r="C6" s="33"/>
      <c r="D6" s="37">
        <f>IF(ISERROR(TER_kantoor_gas_kWh/1000),0,TER_kantoor_gas_kWh/1000)*0.902</f>
        <v>2812.8394070787112</v>
      </c>
      <c r="E6" s="33">
        <f>$C$26*'E Balans VL '!I12/100/3.6*1000000</f>
        <v>4.3336824365809461</v>
      </c>
      <c r="F6" s="33">
        <f>$C$26*('E Balans VL '!L12+'E Balans VL '!N12)/100/3.6*1000000</f>
        <v>169.29669797949248</v>
      </c>
      <c r="G6" s="34"/>
      <c r="H6" s="33"/>
      <c r="I6" s="33"/>
      <c r="J6" s="33">
        <f>$C$26*('E Balans VL '!D12+'E Balans VL '!E12)/100/3.6*1000000</f>
        <v>0</v>
      </c>
      <c r="K6" s="33"/>
      <c r="L6" s="33"/>
      <c r="M6" s="33"/>
      <c r="N6" s="33">
        <f>$C$26*'E Balans VL '!Y12/100/3.6*1000000</f>
        <v>14.972306262192674</v>
      </c>
      <c r="O6" s="33"/>
      <c r="P6" s="33"/>
      <c r="R6" s="32"/>
    </row>
    <row r="7" spans="1:18">
      <c r="A7" s="32" t="s">
        <v>53</v>
      </c>
      <c r="B7" s="37">
        <f t="shared" ref="B7:B12" si="0">B27</f>
        <v>271.66679999999997</v>
      </c>
      <c r="C7" s="33"/>
      <c r="D7" s="37">
        <f>IF(ISERROR(TER_horeca_gas_kWh/1000),0,TER_horeca_gas_kWh/1000)*0.902</f>
        <v>234.91353347314549</v>
      </c>
      <c r="E7" s="33">
        <f>$C$27*'E Balans VL '!I9/100/3.6*1000000</f>
        <v>11.403813241961984</v>
      </c>
      <c r="F7" s="33">
        <f>$C$27*('E Balans VL '!L9+'E Balans VL '!N9)/100/3.6*1000000</f>
        <v>58.373183032432138</v>
      </c>
      <c r="G7" s="34"/>
      <c r="H7" s="33"/>
      <c r="I7" s="33"/>
      <c r="J7" s="33">
        <f>$C$27*('E Balans VL '!D9+'E Balans VL '!E9)/100/3.6*1000000</f>
        <v>0</v>
      </c>
      <c r="K7" s="33"/>
      <c r="L7" s="33"/>
      <c r="M7" s="33"/>
      <c r="N7" s="33">
        <f>$C$27*'E Balans VL '!Y9/100/3.6*1000000</f>
        <v>7.0006158547645914E-2</v>
      </c>
      <c r="O7" s="33"/>
      <c r="P7" s="33"/>
      <c r="R7" s="32"/>
    </row>
    <row r="8" spans="1:18">
      <c r="A8" s="6" t="s">
        <v>52</v>
      </c>
      <c r="B8" s="37">
        <f t="shared" si="0"/>
        <v>1462.4970000000001</v>
      </c>
      <c r="C8" s="33"/>
      <c r="D8" s="37">
        <f>IF(ISERROR(TER_handel_gas_kWh/1000),0,TER_handel_gas_kWh/1000)*0.902</f>
        <v>389.59750162679342</v>
      </c>
      <c r="E8" s="33">
        <f>$C$28*'E Balans VL '!I13/100/3.6*1000000</f>
        <v>15.708434981652209</v>
      </c>
      <c r="F8" s="33">
        <f>$C$28*('E Balans VL '!L13+'E Balans VL '!N13)/100/3.6*1000000</f>
        <v>189.33231370126009</v>
      </c>
      <c r="G8" s="34"/>
      <c r="H8" s="33"/>
      <c r="I8" s="33"/>
      <c r="J8" s="33">
        <f>$C$28*('E Balans VL '!D13+'E Balans VL '!E13)/100/3.6*1000000</f>
        <v>0</v>
      </c>
      <c r="K8" s="33"/>
      <c r="L8" s="33"/>
      <c r="M8" s="33"/>
      <c r="N8" s="33">
        <f>$C$28*'E Balans VL '!Y13/100/3.6*1000000</f>
        <v>11.863855519808293</v>
      </c>
      <c r="O8" s="33"/>
      <c r="P8" s="33"/>
      <c r="R8" s="32"/>
    </row>
    <row r="9" spans="1:18">
      <c r="A9" s="32" t="s">
        <v>51</v>
      </c>
      <c r="B9" s="37">
        <f t="shared" si="0"/>
        <v>1019.23</v>
      </c>
      <c r="C9" s="33"/>
      <c r="D9" s="37">
        <f>IF(ISERROR(TER_gezond_gas_kWh/1000),0,TER_gezond_gas_kWh/1000)*0.902</f>
        <v>102.29779534361512</v>
      </c>
      <c r="E9" s="33">
        <f>$C$29*'E Balans VL '!I10/100/3.6*1000000</f>
        <v>0.81137300203029661</v>
      </c>
      <c r="F9" s="33">
        <f>$C$29*('E Balans VL '!L10+'E Balans VL '!N10)/100/3.6*1000000</f>
        <v>123.902135700165</v>
      </c>
      <c r="G9" s="34"/>
      <c r="H9" s="33"/>
      <c r="I9" s="33"/>
      <c r="J9" s="33">
        <f>$C$29*('E Balans VL '!D10+'E Balans VL '!E10)/100/3.6*1000000</f>
        <v>0</v>
      </c>
      <c r="K9" s="33"/>
      <c r="L9" s="33"/>
      <c r="M9" s="33"/>
      <c r="N9" s="33">
        <f>$C$29*'E Balans VL '!Y10/100/3.6*1000000</f>
        <v>8.2330699127532903</v>
      </c>
      <c r="O9" s="33"/>
      <c r="P9" s="33"/>
      <c r="R9" s="32"/>
    </row>
    <row r="10" spans="1:18">
      <c r="A10" s="32" t="s">
        <v>50</v>
      </c>
      <c r="B10" s="37">
        <f t="shared" si="0"/>
        <v>3332.6950000000002</v>
      </c>
      <c r="C10" s="33"/>
      <c r="D10" s="37">
        <f>IF(ISERROR(TER_ander_gas_kWh/1000),0,TER_ander_gas_kWh/1000)*0.902</f>
        <v>412.9134960929477</v>
      </c>
      <c r="E10" s="33">
        <f>$C$30*'E Balans VL '!I14/100/3.6*1000000</f>
        <v>11.421320842352841</v>
      </c>
      <c r="F10" s="33">
        <f>$C$30*('E Balans VL '!L14+'E Balans VL '!N14)/100/3.6*1000000</f>
        <v>744.38863822776455</v>
      </c>
      <c r="G10" s="34"/>
      <c r="H10" s="33"/>
      <c r="I10" s="33"/>
      <c r="J10" s="33">
        <f>$C$30*('E Balans VL '!D14+'E Balans VL '!E14)/100/3.6*1000000</f>
        <v>0</v>
      </c>
      <c r="K10" s="33"/>
      <c r="L10" s="33"/>
      <c r="M10" s="33"/>
      <c r="N10" s="33">
        <f>$C$30*'E Balans VL '!Y14/100/3.6*1000000</f>
        <v>2347.5685641569044</v>
      </c>
      <c r="O10" s="33"/>
      <c r="P10" s="33"/>
      <c r="R10" s="32"/>
    </row>
    <row r="11" spans="1:18">
      <c r="A11" s="32" t="s">
        <v>55</v>
      </c>
      <c r="B11" s="37">
        <f t="shared" si="0"/>
        <v>15.215200000000001</v>
      </c>
      <c r="C11" s="33"/>
      <c r="D11" s="37">
        <f>IF(ISERROR(TER_onderwijs_gas_kWh/1000),0,TER_onderwijs_gas_kWh/1000)*0.902</f>
        <v>0</v>
      </c>
      <c r="E11" s="33">
        <f>$C$31*'E Balans VL '!I11/100/3.6*1000000</f>
        <v>1.0517799168718719E-2</v>
      </c>
      <c r="F11" s="33">
        <f>$C$31*('E Balans VL '!L11+'E Balans VL '!N11)/100/3.6*1000000</f>
        <v>3.9828973884284919</v>
      </c>
      <c r="G11" s="34"/>
      <c r="H11" s="33"/>
      <c r="I11" s="33"/>
      <c r="J11" s="33">
        <f>$C$31*('E Balans VL '!D11+'E Balans VL '!E11)/100/3.6*1000000</f>
        <v>0</v>
      </c>
      <c r="K11" s="33"/>
      <c r="L11" s="33"/>
      <c r="M11" s="33"/>
      <c r="N11" s="33">
        <f>$C$31*'E Balans VL '!Y11/100/3.6*1000000</f>
        <v>1.5145435670357218E-2</v>
      </c>
      <c r="O11" s="33"/>
      <c r="P11" s="33"/>
      <c r="R11" s="32"/>
    </row>
    <row r="12" spans="1:18">
      <c r="A12" s="32" t="s">
        <v>260</v>
      </c>
      <c r="B12" s="37">
        <f t="shared" si="0"/>
        <v>1186.425</v>
      </c>
      <c r="C12" s="33"/>
      <c r="D12" s="37">
        <f>IF(ISERROR(TER_rest_gas_kWh/1000),0,TER_rest_gas_kWh/1000)*0.902</f>
        <v>3410.6515256536954</v>
      </c>
      <c r="E12" s="33">
        <f>$C$32*'E Balans VL '!I8/100/3.6*1000000</f>
        <v>10.726646791422965</v>
      </c>
      <c r="F12" s="33">
        <f>$C$32*('E Balans VL '!L8+'E Balans VL '!N8)/100/3.6*1000000</f>
        <v>174.88859432617591</v>
      </c>
      <c r="G12" s="34"/>
      <c r="H12" s="33"/>
      <c r="I12" s="33"/>
      <c r="J12" s="33">
        <f>$C$32*('E Balans VL '!D8+'E Balans VL '!E8)/100/3.6*1000000</f>
        <v>0</v>
      </c>
      <c r="K12" s="33"/>
      <c r="L12" s="33"/>
      <c r="M12" s="33"/>
      <c r="N12" s="33">
        <f>$C$32*'E Balans VL '!Y8/100/3.6*1000000</f>
        <v>101.18618215899723</v>
      </c>
      <c r="O12" s="33"/>
      <c r="P12" s="33"/>
      <c r="R12" s="32"/>
    </row>
    <row r="13" spans="1:18">
      <c r="A13" s="16" t="s">
        <v>494</v>
      </c>
      <c r="B13" s="247">
        <f ca="1">'lokale energieproductie'!N90+'lokale energieproductie'!N59</f>
        <v>4918.5</v>
      </c>
      <c r="C13" s="247">
        <f ca="1">'lokale energieproductie'!O90+'lokale energieproductie'!O59</f>
        <v>60.75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-135</v>
      </c>
      <c r="M13" s="248"/>
      <c r="N13" s="310">
        <f ca="1">('lokale energieproductie'!Q59+'lokale energieproductie'!R59+'lokale energieproductie'!V59+'lokale energieproductie'!Q90+'lokale energieproductie'!R90+'lokale energieproductie'!V90)*(-1)</f>
        <v>-13898.571428571429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13702.074000000001</v>
      </c>
      <c r="C16" s="21">
        <f t="shared" ca="1" si="1"/>
        <v>60.75</v>
      </c>
      <c r="D16" s="21">
        <f t="shared" ca="1" si="1"/>
        <v>7363.2132592689086</v>
      </c>
      <c r="E16" s="21">
        <f t="shared" si="1"/>
        <v>54.415789095169956</v>
      </c>
      <c r="F16" s="21">
        <f t="shared" ca="1" si="1"/>
        <v>1464.1644603557188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0.17687496055542476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2423.5537982775113</v>
      </c>
      <c r="C20" s="23">
        <f t="shared" ref="C20:P20" ca="1" si="2">C16*C18</f>
        <v>0</v>
      </c>
      <c r="D20" s="23">
        <f t="shared" ca="1" si="2"/>
        <v>1487.3690783723196</v>
      </c>
      <c r="E20" s="23">
        <f t="shared" si="2"/>
        <v>12.35238412460358</v>
      </c>
      <c r="F20" s="23">
        <f t="shared" ca="1" si="2"/>
        <v>390.93191091497692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1495.845</v>
      </c>
      <c r="C26" s="39">
        <f>IF(ISERROR(B26*3.6/1000000/'E Balans VL '!Z12*100),0,B26*3.6/1000000/'E Balans VL '!Z12*100)</f>
        <v>3.2857964794994345E-2</v>
      </c>
      <c r="D26" s="237" t="s">
        <v>692</v>
      </c>
      <c r="F26" s="6"/>
    </row>
    <row r="27" spans="1:18">
      <c r="A27" s="231" t="s">
        <v>53</v>
      </c>
      <c r="B27" s="33">
        <f>IF(ISERROR(TER_horeca_ele_kWh/1000),0,TER_horeca_ele_kWh/1000)</f>
        <v>271.66679999999997</v>
      </c>
      <c r="C27" s="39">
        <f>IF(ISERROR(B27*3.6/1000000/'E Balans VL '!Z9*100),0,B27*3.6/1000000/'E Balans VL '!Z9*100)</f>
        <v>2.1831135386646883E-2</v>
      </c>
      <c r="D27" s="237" t="s">
        <v>692</v>
      </c>
      <c r="F27" s="6"/>
    </row>
    <row r="28" spans="1:18">
      <c r="A28" s="171" t="s">
        <v>52</v>
      </c>
      <c r="B28" s="33">
        <f>IF(ISERROR(TER_handel_ele_kWh/1000),0,TER_handel_ele_kWh/1000)</f>
        <v>1462.4970000000001</v>
      </c>
      <c r="C28" s="39">
        <f>IF(ISERROR(B28*3.6/1000000/'E Balans VL '!Z13*100),0,B28*3.6/1000000/'E Balans VL '!Z13*100)</f>
        <v>4.3245014568143149E-2</v>
      </c>
      <c r="D28" s="237" t="s">
        <v>692</v>
      </c>
      <c r="F28" s="6"/>
    </row>
    <row r="29" spans="1:18">
      <c r="A29" s="231" t="s">
        <v>51</v>
      </c>
      <c r="B29" s="33">
        <f>IF(ISERROR(TER_gezond_ele_kWh/1000),0,TER_gezond_ele_kWh/1000)</f>
        <v>1019.23</v>
      </c>
      <c r="C29" s="39">
        <f>IF(ISERROR(B29*3.6/1000000/'E Balans VL '!Z10*100),0,B29*3.6/1000000/'E Balans VL '!Z10*100)</f>
        <v>0.11484090680100251</v>
      </c>
      <c r="D29" s="237" t="s">
        <v>692</v>
      </c>
      <c r="F29" s="6"/>
    </row>
    <row r="30" spans="1:18">
      <c r="A30" s="231" t="s">
        <v>50</v>
      </c>
      <c r="B30" s="33">
        <f>IF(ISERROR(TER_ander_ele_kWh/1000),0,TER_ander_ele_kWh/1000)</f>
        <v>3332.6950000000002</v>
      </c>
      <c r="C30" s="39">
        <f>IF(ISERROR(B30*3.6/1000000/'E Balans VL '!Z14*100),0,B30*3.6/1000000/'E Balans VL '!Z14*100)</f>
        <v>0.25204602586523067</v>
      </c>
      <c r="D30" s="237" t="s">
        <v>692</v>
      </c>
      <c r="F30" s="6"/>
    </row>
    <row r="31" spans="1:18">
      <c r="A31" s="231" t="s">
        <v>55</v>
      </c>
      <c r="B31" s="33">
        <f>IF(ISERROR(TER_onderwijs_ele_kWh/1000),0,TER_onderwijs_ele_kWh/1000)</f>
        <v>15.215200000000001</v>
      </c>
      <c r="C31" s="39">
        <f>IF(ISERROR(B31*3.6/1000000/'E Balans VL '!Z11*100),0,B31*3.6/1000000/'E Balans VL '!Z11*100)</f>
        <v>3.1583223142952711E-3</v>
      </c>
      <c r="D31" s="237" t="s">
        <v>692</v>
      </c>
    </row>
    <row r="32" spans="1:18">
      <c r="A32" s="231" t="s">
        <v>260</v>
      </c>
      <c r="B32" s="33">
        <f>IF(ISERROR(TER_rest_ele_kWh/1000),0,TER_rest_ele_kWh/1000)</f>
        <v>1186.425</v>
      </c>
      <c r="C32" s="39">
        <f>IF(ISERROR(B32*3.6/1000000/'E Balans VL '!Z8*100),0,B32*3.6/1000000/'E Balans VL '!Z8*100)</f>
        <v>9.994932674808334E-3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1175.29315</v>
      </c>
      <c r="C5" s="17">
        <f>IF(ISERROR('Eigen informatie GS &amp; warmtenet'!B59),0,'Eigen informatie GS &amp; warmtenet'!B59)</f>
        <v>0</v>
      </c>
      <c r="D5" s="30">
        <f>SUM(D6:D15)</f>
        <v>606.53247415550697</v>
      </c>
      <c r="E5" s="17">
        <f>SUM(E6:E15)</f>
        <v>171.97160768165759</v>
      </c>
      <c r="F5" s="17">
        <f>SUM(F6:F15)</f>
        <v>846.05244901546519</v>
      </c>
      <c r="G5" s="18"/>
      <c r="H5" s="17"/>
      <c r="I5" s="17"/>
      <c r="J5" s="17">
        <f>SUM(J6:J15)</f>
        <v>5.8995462973578965</v>
      </c>
      <c r="K5" s="17"/>
      <c r="L5" s="17"/>
      <c r="M5" s="17"/>
      <c r="N5" s="17">
        <f>SUM(N6:N15)</f>
        <v>346.43905417779831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21.556450000000002</v>
      </c>
      <c r="C8" s="33"/>
      <c r="D8" s="37">
        <f>IF( ISERROR(IND_metaal_Gas_kWH/1000),0,IND_metaal_Gas_kWH/1000)*0.902</f>
        <v>0</v>
      </c>
      <c r="E8" s="33">
        <f>C30*'E Balans VL '!I18/100/3.6*1000000</f>
        <v>0.53948249754132438</v>
      </c>
      <c r="F8" s="33">
        <f>C30*'E Balans VL '!L18/100/3.6*1000000+C30*'E Balans VL '!N18/100/3.6*1000000</f>
        <v>6.7558986572967816</v>
      </c>
      <c r="G8" s="34"/>
      <c r="H8" s="33"/>
      <c r="I8" s="33"/>
      <c r="J8" s="40">
        <f>C30*'E Balans VL '!D18/100/3.6*1000000+C30*'E Balans VL '!E18/100/3.6*1000000</f>
        <v>0</v>
      </c>
      <c r="K8" s="33"/>
      <c r="L8" s="33"/>
      <c r="M8" s="33"/>
      <c r="N8" s="33">
        <f>C30*'E Balans VL '!Y18/100/3.6*1000000</f>
        <v>0.54155396786609278</v>
      </c>
      <c r="O8" s="33"/>
      <c r="P8" s="33"/>
      <c r="R8" s="32"/>
    </row>
    <row r="9" spans="1:18">
      <c r="A9" s="6" t="s">
        <v>33</v>
      </c>
      <c r="B9" s="37">
        <f t="shared" si="0"/>
        <v>533.42560000000003</v>
      </c>
      <c r="C9" s="33"/>
      <c r="D9" s="37">
        <f>IF( ISERROR(IND_andere_gas_kWh/1000),0,IND_andere_gas_kWh/1000)*0.902</f>
        <v>81.805361349256216</v>
      </c>
      <c r="E9" s="33">
        <f>C31*'E Balans VL '!I19/100/3.6*1000000</f>
        <v>146.67016151936065</v>
      </c>
      <c r="F9" s="33">
        <f>C31*'E Balans VL '!L19/100/3.6*1000000+C31*'E Balans VL '!N19/100/3.6*1000000</f>
        <v>420.43219551888183</v>
      </c>
      <c r="G9" s="34"/>
      <c r="H9" s="33"/>
      <c r="I9" s="33"/>
      <c r="J9" s="40">
        <f>C31*'E Balans VL '!D19/100/3.6*1000000+C31*'E Balans VL '!E19/100/3.6*1000000</f>
        <v>0</v>
      </c>
      <c r="K9" s="33"/>
      <c r="L9" s="33"/>
      <c r="M9" s="33"/>
      <c r="N9" s="33">
        <f>C31*'E Balans VL '!Y19/100/3.6*1000000</f>
        <v>172.68394679969148</v>
      </c>
      <c r="O9" s="33"/>
      <c r="P9" s="33"/>
      <c r="R9" s="32"/>
    </row>
    <row r="10" spans="1:18">
      <c r="A10" s="6" t="s">
        <v>41</v>
      </c>
      <c r="B10" s="37">
        <f t="shared" si="0"/>
        <v>167.04560000000001</v>
      </c>
      <c r="C10" s="33"/>
      <c r="D10" s="37">
        <f>IF( ISERROR(IND_voed_gas_kWh/1000),0,IND_voed_gas_kWh/1000)*0.902</f>
        <v>273.46905307372231</v>
      </c>
      <c r="E10" s="33">
        <f>C32*'E Balans VL '!I20/100/3.6*1000000</f>
        <v>1.7029378660538579</v>
      </c>
      <c r="F10" s="33">
        <f>C32*'E Balans VL '!L20/100/3.6*1000000+C32*'E Balans VL '!N20/100/3.6*1000000</f>
        <v>315.54809363062469</v>
      </c>
      <c r="G10" s="34"/>
      <c r="H10" s="33"/>
      <c r="I10" s="33"/>
      <c r="J10" s="40">
        <f>C32*'E Balans VL '!D20/100/3.6*1000000+C32*'E Balans VL '!E20/100/3.6*1000000</f>
        <v>3.9979477836777657</v>
      </c>
      <c r="K10" s="33"/>
      <c r="L10" s="33"/>
      <c r="M10" s="33"/>
      <c r="N10" s="33">
        <f>C32*'E Balans VL '!Y20/100/3.6*1000000</f>
        <v>88.052272493683972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453.26549999999997</v>
      </c>
      <c r="C15" s="33"/>
      <c r="D15" s="37">
        <f>IF( ISERROR(IND_rest_gas_kWh/1000),0,IND_rest_gas_kWh/1000)*0.902</f>
        <v>251.25805973252847</v>
      </c>
      <c r="E15" s="33">
        <f>C37*'E Balans VL '!I15/100/3.6*1000000</f>
        <v>23.059025798701796</v>
      </c>
      <c r="F15" s="33">
        <f>C37*'E Balans VL '!L15/100/3.6*1000000+C37*'E Balans VL '!N15/100/3.6*1000000</f>
        <v>103.31626120866193</v>
      </c>
      <c r="G15" s="34"/>
      <c r="H15" s="33"/>
      <c r="I15" s="33"/>
      <c r="J15" s="40">
        <f>C37*'E Balans VL '!D15/100/3.6*1000000+C37*'E Balans VL '!E15/100/3.6*1000000</f>
        <v>1.9015985136801308</v>
      </c>
      <c r="K15" s="33"/>
      <c r="L15" s="33"/>
      <c r="M15" s="33"/>
      <c r="N15" s="33">
        <f>C37*'E Balans VL '!Y15/100/3.6*1000000</f>
        <v>85.161280916556706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1175.29315</v>
      </c>
      <c r="C18" s="21">
        <f>C5+C16</f>
        <v>0</v>
      </c>
      <c r="D18" s="21">
        <f>MAX((D5+D16),0)</f>
        <v>606.53247415550697</v>
      </c>
      <c r="E18" s="21">
        <f>MAX((E5+E16),0)</f>
        <v>171.97160768165759</v>
      </c>
      <c r="F18" s="21">
        <f>MAX((F5+F16),0)</f>
        <v>846.05244901546519</v>
      </c>
      <c r="G18" s="21"/>
      <c r="H18" s="21"/>
      <c r="I18" s="21"/>
      <c r="J18" s="21">
        <f>MAX((J5+J16),0)</f>
        <v>5.8995462973578965</v>
      </c>
      <c r="K18" s="21"/>
      <c r="L18" s="21">
        <f>MAX((L5+L16),0)</f>
        <v>0</v>
      </c>
      <c r="M18" s="21"/>
      <c r="N18" s="21">
        <f>MAX((N5+N16),0)</f>
        <v>346.43905417779831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0.17687496055542476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207.87992954731092</v>
      </c>
      <c r="C22" s="23">
        <f ca="1">C18*C20</f>
        <v>0</v>
      </c>
      <c r="D22" s="23">
        <f>D18*D20</f>
        <v>122.51955977941242</v>
      </c>
      <c r="E22" s="23">
        <f>E18*E20</f>
        <v>39.037554943736275</v>
      </c>
      <c r="F22" s="23">
        <f>F18*F20</f>
        <v>225.89600388712921</v>
      </c>
      <c r="G22" s="23"/>
      <c r="H22" s="23"/>
      <c r="I22" s="23"/>
      <c r="J22" s="23">
        <f>J18*J20</f>
        <v>2.0884393892646953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21.556450000000002</v>
      </c>
      <c r="C30" s="39">
        <f>IF(ISERROR(B30*3.6/1000000/'E Balans VL '!Z18*100),0,B30*3.6/1000000/'E Balans VL '!Z18*100)</f>
        <v>3.0171846233676245E-3</v>
      </c>
      <c r="D30" s="237" t="s">
        <v>692</v>
      </c>
    </row>
    <row r="31" spans="1:18">
      <c r="A31" s="6" t="s">
        <v>33</v>
      </c>
      <c r="B31" s="37">
        <f>IF( ISERROR(IND_ander_ele_kWh/1000),0,IND_ander_ele_kWh/1000)</f>
        <v>533.42560000000003</v>
      </c>
      <c r="C31" s="39">
        <f>IF(ISERROR(B31*3.6/1000000/'E Balans VL '!Z19*100),0,B31*3.6/1000000/'E Balans VL '!Z19*100)</f>
        <v>2.334795197807343E-2</v>
      </c>
      <c r="D31" s="237" t="s">
        <v>692</v>
      </c>
    </row>
    <row r="32" spans="1:18">
      <c r="A32" s="171" t="s">
        <v>41</v>
      </c>
      <c r="B32" s="37">
        <f>IF( ISERROR(IND_voed_ele_kWh/1000),0,IND_voed_ele_kWh/1000)</f>
        <v>167.04560000000001</v>
      </c>
      <c r="C32" s="39">
        <f>IF(ISERROR(B32*3.6/1000000/'E Balans VL '!Z20*100),0,B32*3.6/1000000/'E Balans VL '!Z20*100)</f>
        <v>4.1354943249247773E-2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453.26549999999997</v>
      </c>
      <c r="C37" s="39">
        <f>IF(ISERROR(B37*3.6/1000000/'E Balans VL '!Z15*100),0,B37*3.6/1000000/'E Balans VL '!Z15*100)</f>
        <v>3.360886080162545E-3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434.67805400000003</v>
      </c>
      <c r="C5" s="17">
        <f>'Eigen informatie GS &amp; warmtenet'!B60</f>
        <v>0</v>
      </c>
      <c r="D5" s="30">
        <f>IF(ISERROR(SUM(LB_lb_gas_kWh,LB_rest_gas_kWh,onbekend_gas_kWh)/1000),0,SUM(LB_lb_gas_kWh,LB_rest_gas_kWh,onbekend_gas_kWh)/1000)*0.902</f>
        <v>659.74812342171288</v>
      </c>
      <c r="E5" s="17">
        <f>B17*'E Balans VL '!I25/3.6*1000000/100</f>
        <v>4.0261701960523109</v>
      </c>
      <c r="F5" s="17">
        <f>B17*('E Balans VL '!L25/3.6*1000000+'E Balans VL '!N25/3.6*1000000)/100</f>
        <v>1102.8610290823096</v>
      </c>
      <c r="G5" s="18"/>
      <c r="H5" s="17"/>
      <c r="I5" s="17"/>
      <c r="J5" s="17">
        <f>('E Balans VL '!D25+'E Balans VL '!E25)/3.6*1000000*landbouw!B17/100</f>
        <v>66.640996699440805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434.67805400000003</v>
      </c>
      <c r="C8" s="21">
        <f>C5+C6</f>
        <v>0</v>
      </c>
      <c r="D8" s="21">
        <f>MAX((D5+D6),0)</f>
        <v>659.74812342171288</v>
      </c>
      <c r="E8" s="21">
        <f>MAX((E5+E6),0)</f>
        <v>4.0261701960523109</v>
      </c>
      <c r="F8" s="21">
        <f>MAX((F5+F6),0)</f>
        <v>1102.8610290823096</v>
      </c>
      <c r="G8" s="21"/>
      <c r="H8" s="21"/>
      <c r="I8" s="21"/>
      <c r="J8" s="21">
        <f>MAX((J5+J6),0)</f>
        <v>66.640996699440805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0.17687496055542476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76.883663655558806</v>
      </c>
      <c r="C12" s="23">
        <f ca="1">C8*C10</f>
        <v>0</v>
      </c>
      <c r="D12" s="23">
        <f>D8*D10</f>
        <v>133.26912093118602</v>
      </c>
      <c r="E12" s="23">
        <f>E8*E10</f>
        <v>0.91394063450387464</v>
      </c>
      <c r="F12" s="23">
        <f>F8*F10</f>
        <v>294.46389476497671</v>
      </c>
      <c r="G12" s="23"/>
      <c r="H12" s="23"/>
      <c r="I12" s="23"/>
      <c r="J12" s="23">
        <f>J8*J10</f>
        <v>23.590912831602044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6.180200251094544E-2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160.39168294739318</v>
      </c>
      <c r="C26" s="247">
        <f>B26*'GWP N2O_CH4'!B5</f>
        <v>3368.2253418952569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25.884704473073786</v>
      </c>
      <c r="C27" s="247">
        <f>B27*'GWP N2O_CH4'!B5</f>
        <v>543.57879393454948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2.1631729748827793</v>
      </c>
      <c r="C28" s="247">
        <f>B28*'GWP N2O_CH4'!B4</f>
        <v>670.58362221366156</v>
      </c>
      <c r="D28" s="50"/>
    </row>
    <row r="29" spans="1:4">
      <c r="A29" s="41" t="s">
        <v>277</v>
      </c>
      <c r="B29" s="247">
        <f>B34*'ha_N2O bodem landbouw'!B4</f>
        <v>12.306184307368655</v>
      </c>
      <c r="C29" s="247">
        <f>B29*'GWP N2O_CH4'!B4</f>
        <v>3814.9171352842832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2.7600603382744206E-3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3.4421247948729373E-5</v>
      </c>
      <c r="C5" s="464" t="s">
        <v>211</v>
      </c>
      <c r="D5" s="449">
        <f>SUM(D6:D11)</f>
        <v>1.0947779884260358E-4</v>
      </c>
      <c r="E5" s="449">
        <f>SUM(E6:E11)</f>
        <v>6.7836262576783833E-4</v>
      </c>
      <c r="F5" s="462" t="s">
        <v>211</v>
      </c>
      <c r="G5" s="449">
        <f>SUM(G6:G11)</f>
        <v>0.15930527768973871</v>
      </c>
      <c r="H5" s="449">
        <f>SUM(H6:H11)</f>
        <v>4.0885244587688656E-2</v>
      </c>
      <c r="I5" s="464" t="s">
        <v>211</v>
      </c>
      <c r="J5" s="464" t="s">
        <v>211</v>
      </c>
      <c r="K5" s="464" t="s">
        <v>211</v>
      </c>
      <c r="L5" s="464" t="s">
        <v>211</v>
      </c>
      <c r="M5" s="449">
        <f>SUM(M6:M11)</f>
        <v>1.0473702413695265E-2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1.7629409756993361E-5</v>
      </c>
      <c r="C6" s="450"/>
      <c r="D6" s="963">
        <f>vkm_2011_GW_PW*SUMIFS(TableVerdeelsleutelVkm[CNG],TableVerdeelsleutelVkm[Voertuigtype],"Lichte voertuigen")*SUMIFS(TableECFTransport[EnergieConsumptieFactor (PJ per km)],TableECFTransport[Index],CONCATENATE($A6,"_CNG_CNG"))</f>
        <v>4.0778765685537978E-5</v>
      </c>
      <c r="E6" s="963">
        <f>vkm_2011_GW_PW*SUMIFS(TableVerdeelsleutelVkm[LPG],TableVerdeelsleutelVkm[Voertuigtype],"Lichte voertuigen")*SUMIFS(TableECFTransport[EnergieConsumptieFactor (PJ per km)],TableECFTransport[Index],CONCATENATE($A6,"_LPG_LPG"))</f>
        <v>2.6552669653740602E-4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5.5161206767476358E-2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1.5548804247355386E-2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3.6694830157948505E-3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1.3608870087495575E-2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4.6539864213299511E-6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7.873502731379268E-4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1.6791838191736012E-5</v>
      </c>
      <c r="C8" s="450"/>
      <c r="D8" s="452">
        <f>vkm_2011_NGW_PW*SUMIFS(TableVerdeelsleutelVkm[CNG],TableVerdeelsleutelVkm[Voertuigtype],"Lichte voertuigen")*SUMIFS(TableECFTransport[EnergieConsumptieFactor (PJ per km)],TableECFTransport[Index],CONCATENATE($A8,"_CNG_CNG"))</f>
        <v>6.8699033157065595E-5</v>
      </c>
      <c r="E8" s="452">
        <f>vkm_2011_NGW_PW*SUMIFS(TableVerdeelsleutelVkm[LPG],TableVerdeelsleutelVkm[Voertuigtype],"Lichte voertuigen")*SUMIFS(TableECFTransport[EnergieConsumptieFactor (PJ per km)],TableECFTransport[Index],CONCATENATE($A8,"_LPG_LPG"))</f>
        <v>4.1283592923043231E-4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8.0172130973932082E-2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2.5328432985221111E-2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5.4173126608541133E-3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1.0363069860834673E-2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3.3533686908325128E-6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5.9955646390837461E-4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9.5614577635359375</v>
      </c>
      <c r="C14" s="21"/>
      <c r="D14" s="21">
        <f t="shared" ref="D14:M14" si="0">((D5)*10^9/3600)+D12</f>
        <v>30.410499678500994</v>
      </c>
      <c r="E14" s="21">
        <f t="shared" si="0"/>
        <v>188.43406271328843</v>
      </c>
      <c r="F14" s="21"/>
      <c r="G14" s="21">
        <f t="shared" si="0"/>
        <v>44251.466024927417</v>
      </c>
      <c r="H14" s="21">
        <f t="shared" si="0"/>
        <v>11357.01238546907</v>
      </c>
      <c r="I14" s="21"/>
      <c r="J14" s="21"/>
      <c r="K14" s="21"/>
      <c r="L14" s="21"/>
      <c r="M14" s="21">
        <f t="shared" si="0"/>
        <v>2909.361781582018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0.17687496055542476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1.6911824647777787</v>
      </c>
      <c r="C18" s="23"/>
      <c r="D18" s="23">
        <f t="shared" ref="D18:M18" si="1">D14*D16</f>
        <v>6.1429209350572007</v>
      </c>
      <c r="E18" s="23">
        <f t="shared" si="1"/>
        <v>42.774532235916475</v>
      </c>
      <c r="F18" s="23"/>
      <c r="G18" s="23">
        <f t="shared" si="1"/>
        <v>11815.141428655621</v>
      </c>
      <c r="H18" s="23">
        <f t="shared" si="1"/>
        <v>2827.8960839817983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8.4489957697981583E-3</v>
      </c>
      <c r="H50" s="321">
        <f t="shared" si="2"/>
        <v>0</v>
      </c>
      <c r="I50" s="321">
        <f t="shared" si="2"/>
        <v>0</v>
      </c>
      <c r="J50" s="321">
        <f t="shared" si="2"/>
        <v>0</v>
      </c>
      <c r="K50" s="321">
        <f t="shared" si="2"/>
        <v>0</v>
      </c>
      <c r="L50" s="321">
        <f t="shared" si="2"/>
        <v>0</v>
      </c>
      <c r="M50" s="321">
        <f t="shared" si="2"/>
        <v>4.8182159859840539E-4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8.4489957697981583E-3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4.8182159859840539E-4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2346.9432693883773</v>
      </c>
      <c r="H54" s="21">
        <f t="shared" si="3"/>
        <v>0</v>
      </c>
      <c r="I54" s="21">
        <f t="shared" si="3"/>
        <v>0</v>
      </c>
      <c r="J54" s="21">
        <f t="shared" si="3"/>
        <v>0</v>
      </c>
      <c r="K54" s="21">
        <f t="shared" si="3"/>
        <v>0</v>
      </c>
      <c r="L54" s="21">
        <f t="shared" si="3"/>
        <v>0</v>
      </c>
      <c r="M54" s="21">
        <f t="shared" si="3"/>
        <v>133.83933294400148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0.17687496055542476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626.63385292669682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1924.0427996584153</v>
      </c>
      <c r="C6" s="1216"/>
      <c r="D6" s="1201"/>
      <c r="E6" s="1201"/>
      <c r="F6" s="1219"/>
      <c r="G6" s="1222"/>
      <c r="H6" s="1213"/>
      <c r="I6" s="1201"/>
      <c r="J6" s="1201"/>
      <c r="K6" s="1201"/>
      <c r="L6" s="1205"/>
      <c r="M6" s="576"/>
      <c r="N6" s="1179"/>
      <c r="O6" s="1180"/>
      <c r="Q6" s="574"/>
      <c r="R6" s="1167"/>
      <c r="S6" s="1167"/>
    </row>
    <row r="7" spans="1:19" s="564" customFormat="1">
      <c r="A7" s="577" t="s">
        <v>252</v>
      </c>
      <c r="B7" s="578">
        <f>N57</f>
        <v>54</v>
      </c>
      <c r="C7" s="579">
        <f>B100</f>
        <v>0</v>
      </c>
      <c r="D7" s="580"/>
      <c r="E7" s="580">
        <f>E100</f>
        <v>0</v>
      </c>
      <c r="F7" s="581"/>
      <c r="G7" s="582"/>
      <c r="H7" s="580">
        <f>I100</f>
        <v>0</v>
      </c>
      <c r="I7" s="580">
        <f>G100+F100</f>
        <v>63.529411764705884</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4864.5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6842.5427996584149</v>
      </c>
      <c r="C9" s="595">
        <f t="shared" ref="C9:L9" si="0">SUM(C7:C8)</f>
        <v>0</v>
      </c>
      <c r="D9" s="595">
        <f t="shared" si="0"/>
        <v>0</v>
      </c>
      <c r="E9" s="595">
        <f t="shared" si="0"/>
        <v>0</v>
      </c>
      <c r="F9" s="595">
        <f t="shared" si="0"/>
        <v>0</v>
      </c>
      <c r="G9" s="595">
        <f t="shared" si="0"/>
        <v>0</v>
      </c>
      <c r="H9" s="595">
        <f t="shared" si="0"/>
        <v>0</v>
      </c>
      <c r="I9" s="595">
        <f t="shared" si="0"/>
        <v>63.529411764705884</v>
      </c>
      <c r="J9" s="595">
        <f t="shared" si="0"/>
        <v>13898.571428571429</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60.75</v>
      </c>
      <c r="C16" s="611">
        <f>B101</f>
        <v>0</v>
      </c>
      <c r="D16" s="612"/>
      <c r="E16" s="612">
        <f>E101</f>
        <v>0</v>
      </c>
      <c r="F16" s="613"/>
      <c r="G16" s="614"/>
      <c r="H16" s="611">
        <f>I101</f>
        <v>0</v>
      </c>
      <c r="I16" s="612">
        <f>G101+F101</f>
        <v>71.470588235294116</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60.75</v>
      </c>
      <c r="C19" s="594">
        <f>SUM(C16:C18)</f>
        <v>0</v>
      </c>
      <c r="D19" s="594">
        <f t="shared" ref="D19:M19" si="1">SUM(D16:D18)</f>
        <v>0</v>
      </c>
      <c r="E19" s="594">
        <f t="shared" si="1"/>
        <v>0</v>
      </c>
      <c r="F19" s="594">
        <f t="shared" si="1"/>
        <v>0</v>
      </c>
      <c r="G19" s="594">
        <f t="shared" si="1"/>
        <v>0</v>
      </c>
      <c r="H19" s="594">
        <f t="shared" si="1"/>
        <v>0</v>
      </c>
      <c r="I19" s="594">
        <f t="shared" si="1"/>
        <v>71.470588235294116</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24045</v>
      </c>
      <c r="C27" s="852">
        <v>3040</v>
      </c>
      <c r="D27" s="673" t="s">
        <v>834</v>
      </c>
      <c r="E27" s="672" t="s">
        <v>835</v>
      </c>
      <c r="F27" s="672" t="s">
        <v>836</v>
      </c>
      <c r="G27" s="672" t="s">
        <v>837</v>
      </c>
      <c r="H27" s="672" t="s">
        <v>838</v>
      </c>
      <c r="I27" s="672" t="s">
        <v>835</v>
      </c>
      <c r="J27" s="851">
        <v>40026</v>
      </c>
      <c r="K27" s="851">
        <v>40891</v>
      </c>
      <c r="L27" s="672" t="s">
        <v>839</v>
      </c>
      <c r="M27" s="672">
        <v>12</v>
      </c>
      <c r="N27" s="672">
        <v>54</v>
      </c>
      <c r="O27" s="672">
        <v>60.75</v>
      </c>
      <c r="P27" s="672">
        <v>0</v>
      </c>
      <c r="Q27" s="672">
        <v>0</v>
      </c>
      <c r="R27" s="672">
        <v>0</v>
      </c>
      <c r="S27" s="672">
        <v>0</v>
      </c>
      <c r="T27" s="672">
        <v>0</v>
      </c>
      <c r="U27" s="672">
        <v>135</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v>
      </c>
      <c r="N57" s="630">
        <f>SUM(N27:N56)</f>
        <v>54</v>
      </c>
      <c r="O57" s="630">
        <f t="shared" ref="O57:W57" si="2">SUM(O27:O56)</f>
        <v>60.75</v>
      </c>
      <c r="P57" s="630">
        <f t="shared" si="2"/>
        <v>0</v>
      </c>
      <c r="Q57" s="630">
        <f t="shared" si="2"/>
        <v>0</v>
      </c>
      <c r="R57" s="630">
        <f t="shared" si="2"/>
        <v>0</v>
      </c>
      <c r="S57" s="630">
        <f t="shared" si="2"/>
        <v>0</v>
      </c>
      <c r="T57" s="630">
        <f t="shared" si="2"/>
        <v>0</v>
      </c>
      <c r="U57" s="630">
        <f t="shared" si="2"/>
        <v>135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v>
      </c>
      <c r="N59" s="630">
        <f ca="1">SUMIF($Z$27:AB56,"tertiair",N27:N56)</f>
        <v>54</v>
      </c>
      <c r="O59" s="630">
        <f ca="1">SUMIF($Z$27:AC56,"tertiair",O27:O56)</f>
        <v>60.75</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135</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24045</v>
      </c>
      <c r="C63" s="852">
        <v>3040</v>
      </c>
      <c r="D63" s="675" t="s">
        <v>840</v>
      </c>
      <c r="E63" s="675" t="s">
        <v>841</v>
      </c>
      <c r="F63" s="675" t="s">
        <v>842</v>
      </c>
      <c r="G63" s="675" t="s">
        <v>843</v>
      </c>
      <c r="H63" s="675" t="s">
        <v>844</v>
      </c>
      <c r="I63" s="675" t="s">
        <v>845</v>
      </c>
      <c r="J63" s="851">
        <v>37659</v>
      </c>
      <c r="K63" s="851">
        <v>37712</v>
      </c>
      <c r="L63" s="675" t="s">
        <v>846</v>
      </c>
      <c r="M63" s="675">
        <v>1081</v>
      </c>
      <c r="N63" s="675">
        <v>4864.5</v>
      </c>
      <c r="O63" s="675">
        <v>0</v>
      </c>
      <c r="P63" s="675">
        <v>0</v>
      </c>
      <c r="Q63" s="675">
        <v>0</v>
      </c>
      <c r="R63" s="675">
        <v>13898.571428571429</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1081</v>
      </c>
      <c r="N88" s="630">
        <f t="shared" ref="N88:W88" si="5">SUM(N63:N87)</f>
        <v>4864.5</v>
      </c>
      <c r="O88" s="630">
        <f t="shared" si="5"/>
        <v>0</v>
      </c>
      <c r="P88" s="630">
        <f t="shared" si="5"/>
        <v>0</v>
      </c>
      <c r="Q88" s="630">
        <f t="shared" si="5"/>
        <v>0</v>
      </c>
      <c r="R88" s="630">
        <f t="shared" si="5"/>
        <v>13898.571428571429</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1081</v>
      </c>
      <c r="N90" s="630">
        <f t="shared" ref="N90:W90" si="7">SUMIF($Z$63:$Z$88,"tertiair",N63:N88)</f>
        <v>4864.5</v>
      </c>
      <c r="O90" s="630">
        <f t="shared" si="7"/>
        <v>0</v>
      </c>
      <c r="P90" s="630">
        <f t="shared" si="7"/>
        <v>0</v>
      </c>
      <c r="Q90" s="630">
        <f t="shared" si="7"/>
        <v>0</v>
      </c>
      <c r="R90" s="630">
        <f t="shared" si="7"/>
        <v>13898.571428571429</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63.529411764705884</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71.470588235294116</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2018-06-27T09:36:01Z</dcterms:modified>
</cp:coreProperties>
</file>