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F16" i="16"/>
  <c r="D13" i="15"/>
  <c r="F8" i="17"/>
  <c r="G22" i="14" s="1"/>
  <c r="D8" i="17"/>
  <c r="J15" i="16"/>
  <c r="L16"/>
  <c r="L18" s="1"/>
  <c r="C13" i="15"/>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J15"/>
  <c r="J23" s="1"/>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O8" l="1"/>
  <c r="O25" s="1"/>
  <c r="G14" i="22"/>
  <c r="G9" i="48" s="1"/>
  <c r="P41" i="14"/>
  <c r="P53" s="1"/>
  <c r="P55" s="1"/>
  <c r="D8" i="48"/>
  <c r="D25" s="1"/>
  <c r="J16" i="15"/>
  <c r="J5" i="48" s="1"/>
  <c r="J22" s="1"/>
  <c r="E20" i="15"/>
  <c r="F36" i="14" s="1"/>
  <c r="E16" i="15"/>
  <c r="H14" i="22"/>
  <c r="I19" i="14" s="1"/>
  <c r="I20" s="1"/>
  <c r="I23" s="1"/>
  <c r="N12" i="17"/>
  <c r="O48" i="14" s="1"/>
  <c r="L7" i="48"/>
  <c r="L24" s="1"/>
  <c r="M22" i="14"/>
  <c r="R22" s="1"/>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O14" i="48" l="1"/>
  <c r="O31"/>
  <c r="D3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E14" l="1"/>
  <c r="K41" i="14"/>
  <c r="K53" s="1"/>
  <c r="K55" s="1"/>
  <c r="F8" i="48"/>
  <c r="F14" s="1"/>
  <c r="K15" i="14"/>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l="1"/>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<sst xmlns="http://schemas.openxmlformats.org/spreadsheetml/2006/main" count="1950" uniqueCount="834">
  <si>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</si>
  <si>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</si>
  <si>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</si>
  <si>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</si>
  <si>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</si>
  <si>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</si>
  <si>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</si>
  <si>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</si>
  <si>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</si>
  <si>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</si>
  <si>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</si>
  <si>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</si>
  <si>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</si>
  <si>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</si>
  <si>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</si>
  <si>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</si>
  <si>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</si>
  <si>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</si>
  <si>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</si>
  <si>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</si>
  <si>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</si>
  <si>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</si>
  <si>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</si>
  <si>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</si>
  <si>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</si>
  <si>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</si>
  <si>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</si>
  <si>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</si>
  <si>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</si>
  <si>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</si>
  <si>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</si>
  <si>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</si>
  <si>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</si>
  <si>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</si>
  <si>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</si>
  <si>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</si>
  <si>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</si>
  <si>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</si>
  <si>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</si>
  <si>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</si>
  <si>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</si>
  <si>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</si>
  <si>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</si>
  <si>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</si>
  <si>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</si>
  <si>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</si>
  <si>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</si>
  <si>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</si>
  <si>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</si>
  <si>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</si>
  <si>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</si>
  <si>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</si>
  <si>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</si>
  <si>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</si>
  <si>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</si>
  <si>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</si>
  <si>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</si>
  <si>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</si>
  <si>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</si>
  <si>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</si>
  <si>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</si>
  <si>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</si>
  <si>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</si>
  <si>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</si>
  <si>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</si>
  <si>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</si>
  <si>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</si>
  <si>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</si>
  <si>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</si>
  <si>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</si>
  <si>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</si>
  <si>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</si>
  <si>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</si>
  <si>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</si>
  <si>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</si>
  <si>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</si>
  <si>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</si>
  <si>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</si>
  <si>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</si>
  <si>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</si>
  <si>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</si>
  <si>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</si>
  <si>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</si>
  <si>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</si>
  <si>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</si>
  <si>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</si>
  <si>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</si>
  <si>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</si>
  <si>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</si>
  <si>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</si>
  <si>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</si>
  <si>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</si>
  <si>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</si>
  <si>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</si>
  <si>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</si>
  <si>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</si>
  <si>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</si>
  <si>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</si>
  <si>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</si>
  <si>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</si>
  <si>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</si>
  <si>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</si>
  <si>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</si>
  <si>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</si>
  <si>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</si>
  <si>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</si>
  <si>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</si>
  <si>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</si>
  <si>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</si>
  <si>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</si>
  <si>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</si>
  <si>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</si>
  <si>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</si>
  <si>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</si>
  <si>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</si>
  <si>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</si>
  <si>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</si>
  <si>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</si>
  <si>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</si>
  <si>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</si>
  <si>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</si>
  <si>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</si>
  <si>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</si>
  <si>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</si>
  <si>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</si>
  <si>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</si>
  <si>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</si>
  <si>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</si>
  <si>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</si>
  <si>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</si>
  <si>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</si>
  <si>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</si>
  <si>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</si>
  <si>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</si>
  <si>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</si>
  <si>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</si>
  <si>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</si>
  <si>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</si>
  <si>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</si>
  <si>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</si>
  <si>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</si>
  <si>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</si>
  <si>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</si>
  <si>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</si>
  <si>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</si>
  <si>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</si>
  <si>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</si>
  <si>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</si>
  <si>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</si>
  <si>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</si>
  <si>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</si>
  <si>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</si>
  <si>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</si>
  <si>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</si>
  <si>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</si>
  <si>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</si>
  <si>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</si>
  <si>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</si>
  <si>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</si>
  <si>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</si>
  <si>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</si>
  <si>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</si>
  <si>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</si>
  <si>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</si>
  <si>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</si>
  <si>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</si>
  <si>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</si>
  <si>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</si>
  <si>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</si>
  <si>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</si>
  <si>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</si>
  <si>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</si>
  <si>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</si>
  <si>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</si>
  <si>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</si>
  <si>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</si>
  <si>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</si>
  <si>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</si>
  <si>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</si>
  <si>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</si>
  <si>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</si>
  <si>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</si>
  <si>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</si>
  <si>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</si>
  <si>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</si>
  <si>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</si>
  <si>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</si>
  <si>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</si>
  <si>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</si>
  <si>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</si>
  <si>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</si>
  <si>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</si>
  <si>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</si>
  <si>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</si>
  <si>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</si>
  <si>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</si>
  <si>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</si>
  <si>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</si>
  <si>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</si>
  <si>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</si>
  <si>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</si>
  <si>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</si>
  <si>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</si>
  <si>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</si>
  <si>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</si>
  <si>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</si>
  <si>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</si>
  <si>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</si>
  <si>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</si>
  <si>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</si>
  <si>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</si>
  <si>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</si>
  <si>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</si>
  <si>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</si>
  <si>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</si>
  <si>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</si>
  <si>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</si>
  <si>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</si>
  <si>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</si>
  <si>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</si>
  <si>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</si>
  <si>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</si>
  <si>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</si>
  <si>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</si>
  <si>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</si>
  <si>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</si>
  <si>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</si>
  <si>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</si>
  <si>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</si>
  <si>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</si>
  <si>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</si>
  <si>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</si>
  <si>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</si>
  <si>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</si>
  <si>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</si>
  <si>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</si>
  <si>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</si>
  <si>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</si>
  <si>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</si>
  <si>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</si>
  <si>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</si>
  <si>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</si>
  <si>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</si>
  <si>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</si>
  <si>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</si>
  <si>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</si>
  <si>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</si>
  <si>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</si>
  <si>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</si>
  <si>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</si>
  <si>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</si>
  <si>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</si>
  <si>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</si>
  <si>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</si>
  <si>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</si>
  <si>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</si>
  <si>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</si>
  <si>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</si>
  <si>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</si>
  <si>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</si>
  <si>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</si>
  <si>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</si>
  <si>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</si>
  <si>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</si>
  <si>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</si>
  <si>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</si>
  <si>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</si>
  <si>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</si>
  <si>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</si>
  <si>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</si>
  <si>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</si>
  <si>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</si>
  <si>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</si>
  <si>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</si>
  <si>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</si>
  <si>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</si>
  <si>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</si>
  <si>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</si>
  <si>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</si>
  <si>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</si>
  <si>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</si>
  <si>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</si>
  <si>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</si>
  <si>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</si>
  <si>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</si>
  <si>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</si>
  <si>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</si>
  <si>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</si>
  <si>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</si>
  <si>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</si>
  <si>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</si>
  <si>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</si>
  <si>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</si>
  <si>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</si>
  <si>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</si>
  <si>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</si>
  <si>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</si>
  <si>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</si>
  <si>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</si>
  <si>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</si>
  <si>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</si>
  <si>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</si>
  <si>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</si>
  <si>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</si>
  <si>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</si>
  <si>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</si>
  <si>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</si>
  <si>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</si>
  <si>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</si>
  <si>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</si>
  <si>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</si>
  <si>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</si>
  <si>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</si>
  <si>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</si>
  <si>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</si>
  <si>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</si>
  <si>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</si>
  <si>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</si>
  <si>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</si>
  <si>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</si>
  <si>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</si>
  <si>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</si>
  <si>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</si>
  <si>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</si>
  <si>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</si>
  <si>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</si>
  <si>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</si>
  <si>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</si>
  <si>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</si>
  <si>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</si>
  <si>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</si>
  <si>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</si>
  <si>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</si>
  <si>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</si>
  <si>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</si>
  <si>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</si>
  <si>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</si>
  <si>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</si>
  <si>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</si>
  <si>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</si>
  <si>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</si>
  <si>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</si>
  <si>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</si>
  <si>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</si>
  <si>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</si>
  <si>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</si>
  <si>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</si>
  <si>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</si>
  <si>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</si>
  <si>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</si>
  <si>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</si>
  <si>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</si>
  <si>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</si>
  <si>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</si>
  <si>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</si>
  <si>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</si>
  <si>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</si>
  <si>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</si>
  <si>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</si>
  <si>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</si>
  <si>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</si>
  <si>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</si>
  <si>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</si>
  <si>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</si>
  <si>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</si>
  <si>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</si>
  <si>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</si>
  <si>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</si>
  <si>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</si>
  <si>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</si>
  <si>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</si>
  <si>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</si>
  <si>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</si>
  <si>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</si>
  <si>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</si>
  <si>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</si>
  <si>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</si>
  <si>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</si>
  <si>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</si>
  <si>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</si>
  <si>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</si>
  <si>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</si>
  <si>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</si>
  <si>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</si>
  <si>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</si>
  <si>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</si>
  <si>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</si>
  <si>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</si>
  <si>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</si>
  <si>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</si>
  <si>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</si>
  <si>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</si>
  <si>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</si>
  <si>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</si>
  <si>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</si>
  <si>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</si>
  <si>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</si>
  <si>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</si>
  <si>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</si>
  <si>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</si>
  <si>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</si>
  <si>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</si>
  <si>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</si>
  <si>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</si>
  <si>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</si>
  <si>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</si>
  <si>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</si>
  <si>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</si>
  <si>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</si>
  <si>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</si>
  <si>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</si>
  <si>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</si>
  <si>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</si>
  <si>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</si>
  <si>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</si>
  <si>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</si>
  <si>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</si>
  <si>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</si>
  <si>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</si>
  <si>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</si>
  <si>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</si>
  <si>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</si>
  <si>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</si>
  <si>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</si>
  <si>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</si>
  <si>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</si>
  <si>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</si>
  <si>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</si>
  <si>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</si>
  <si>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</si>
  <si>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</si>
  <si>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</si>
  <si>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</si>
  <si>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</si>
  <si>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</si>
  <si>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</si>
  <si>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</si>
  <si>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</si>
  <si>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</si>
  <si>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</si>
  <si>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</si>
  <si>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</si>
  <si>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</si>
  <si>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</si>
  <si>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</si>
  <si>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</si>
  <si>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</si>
  <si>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</si>
  <si>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</si>
  <si>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</si>
  <si>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</si>
  <si>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</si>
  <si>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</si>
  <si>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</si>
  <si>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</si>
  <si>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</si>
  <si>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</si>
  <si>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</si>
  <si>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</si>
  <si>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</si>
  <si>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</si>
  <si>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</si>
  <si>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</si>
  <si>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</si>
  <si>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</si>
  <si>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</si>
  <si>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</si>
  <si>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</si>
  <si>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</si>
  <si>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</si>
  <si>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</si>
  <si>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</si>
  <si>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</si>
  <si>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</si>
  <si>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</si>
  <si>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</si>
  <si>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</si>
  <si>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</si>
  <si>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</si>
  <si>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</si>
  <si>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</si>
  <si>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</si>
  <si>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</si>
  <si>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</si>
  <si>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</si>
  <si>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</si>
  <si>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</si>
  <si>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</si>
  <si>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</si>
  <si>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</si>
  <si>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</si>
  <si>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</si>
  <si>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</si>
  <si>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</si>
  <si>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</si>
  <si>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</si>
  <si>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</si>
  <si>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</si>
  <si>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</si>
  <si>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</si>
  <si>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</si>
  <si>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</si>
  <si>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</si>
  <si>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</si>
  <si>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</si>
  <si>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</si>
  <si>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</si>
  <si>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</si>
  <si>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</si>
  <si>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</si>
  <si>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</si>
  <si>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</si>
  <si>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</si>
  <si>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</si>
  <si>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</si>
  <si>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</si>
  <si>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</si>
  <si>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</si>
  <si>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</si>
  <si>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</si>
  <si>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</si>
  <si>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</si>
  <si>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</si>
  <si>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</si>
  <si>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</si>
  <si>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</si>
  <si>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</si>
  <si>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</si>
  <si>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</si>
  <si>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</si>
  <si>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</si>
  <si>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</si>
  <si>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</si>
  <si>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</si>
  <si>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</si>
  <si>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</si>
  <si>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</si>
  <si>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</si>
  <si>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</si>
  <si>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</si>
  <si>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</si>
  <si>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</si>
  <si>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</si>
  <si>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</si>
  <si>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</si>
  <si>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</si>
  <si>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</si>
  <si>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</si>
  <si>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</si>
  <si>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</si>
  <si>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</si>
  <si>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</si>
  <si>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</si>
  <si>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</si>
  <si>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</si>
  <si>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</si>
  <si>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</si>
  <si>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</si>
  <si>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</si>
  <si>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</si>
  <si>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</si>
  <si>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</si>
  <si>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</si>
  <si>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</si>
  <si>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</si>
  <si>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</si>
  <si>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</si>
  <si>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</si>
  <si>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</si>
  <si>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</si>
  <si>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</si>
  <si>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</si>
  <si>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</si>
  <si>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</si>
  <si>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</si>
  <si>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</si>
  <si>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</si>
  <si>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</si>
  <si>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</si>
  <si>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</si>
  <si>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</si>
  <si>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</si>
  <si>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</si>
  <si>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</si>
  <si>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</si>
  <si>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</si>
  <si>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</si>
  <si>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</si>
  <si>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</si>
  <si>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</si>
  <si>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</si>
  <si>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</si>
  <si>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</si>
  <si>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</si>
  <si>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</si>
  <si>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</si>
  <si>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</si>
  <si>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</si>
  <si>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</si>
  <si>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</si>
  <si>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</si>
  <si>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</si>
  <si>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</si>
  <si>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</si>
  <si>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</si>
  <si>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</si>
  <si>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</si>
  <si>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</si>
  <si>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</si>
  <si>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</si>
  <si>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</si>
  <si>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</si>
  <si>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</si>
  <si>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</si>
  <si>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</si>
  <si>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</si>
  <si>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</si>
  <si>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</si>
  <si>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</si>
  <si>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</si>
  <si>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</si>
  <si>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</si>
  <si>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</si>
  <si>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</si>
  <si>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</si>
  <si>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</si>
  <si>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</si>
  <si>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</si>
  <si>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</si>
  <si>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</si>
  <si>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</si>
  <si>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</si>
  <si>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</si>
  <si>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</si>
  <si>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</si>
  <si>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</si>
  <si>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</si>
  <si>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</si>
  <si>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</si>
  <si>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</si>
  <si>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</si>
  <si>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</si>
  <si>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</si>
  <si>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</si>
  <si>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</si>
  <si>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</si>
  <si>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</si>
  <si>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</si>
  <si>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</si>
  <si>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</si>
  <si>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</si>
  <si>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</si>
  <si>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</si>
  <si>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</si>
  <si>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</si>
  <si>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</si>
  <si>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</si>
  <si>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</si>
  <si>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</si>
  <si>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</si>
  <si>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</si>
  <si>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</si>
  <si>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</si>
  <si>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</si>
  <si>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</si>
  <si>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</si>
  <si>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</si>
  <si>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</si>
  <si>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</si>
  <si>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</si>
  <si>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</si>
  <si>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</si>
  <si>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</si>
  <si>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</si>
  <si>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</si>
  <si>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</si>
  <si>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</si>
  <si>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</si>
  <si>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</si>
  <si>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</si>
  <si>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</si>
  <si>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</si>
  <si>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</si>
  <si>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</si>
  <si>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</si>
  <si>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</si>
  <si>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</si>
  <si>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</si>
  <si>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</si>
  <si>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</si>
  <si>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</si>
  <si>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</si>
  <si>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</si>
  <si>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</si>
  <si>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</si>
  <si>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</si>
  <si>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</si>
  <si>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</si>
  <si>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</si>
  <si>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</si>
  <si>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</si>
  <si>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</si>
  <si>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</si>
  <si>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</si>
  <si>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</si>
  <si>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</si>
  <si>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</si>
  <si>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</si>
  <si>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</si>
  <si>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</si>
  <si>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</si>
  <si>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</si>
  <si>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</si>
  <si>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</si>
  <si>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</si>
  <si>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</si>
  <si>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</si>
  <si>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</si>
  <si>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</si>
  <si>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</si>
  <si>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</si>
  <si>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</si>
  <si>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</si>
  <si>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</si>
  <si>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</si>
  <si>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</si>
  <si>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</si>
  <si>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</si>
  <si>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</si>
  <si>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</si>
  <si>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</si>
  <si>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</si>
  <si>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</si>
  <si>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</si>
  <si>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</si>
  <si>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</si>
  <si>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</si>
  <si>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</si>
  <si>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</si>
  <si>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</si>
  <si>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</si>
  <si>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</si>
  <si>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</si>
  <si>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</si>
  <si>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</si>
  <si>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</si>
  <si>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</si>
  <si>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</si>
  <si>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</si>
  <si>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</si>
  <si>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</si>
  <si>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</si>
  <si>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</si>
  <si>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</si>
  <si>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</si>
  <si>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</si>
  <si>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</si>
  <si>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</si>
  <si>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</si>
  <si>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</si>
  <si>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</si>
  <si>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</si>
  <si>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</si>
  <si>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</si>
  <si>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</si>
  <si>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</si>
  <si>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</si>
  <si>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</si>
  <si>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</si>
  <si>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</si>
  <si>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</si>
  <si>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</si>
  <si>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</si>
  <si>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</si>
  <si>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</si>
  <si>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</si>
  <si>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</si>
  <si>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</si>
  <si>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</si>
  <si>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</si>
  <si>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</si>
  <si>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</si>
  <si>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</si>
  <si>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</si>
  <si>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</si>
  <si>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</si>
  <si>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</si>
  <si>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</si>
  <si>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</si>
  <si>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</si>
  <si>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</si>
  <si>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</si>
  <si>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</si>
  <si>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</si>
  <si>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</si>
  <si>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</si>
  <si>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</si>
  <si>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</si>
  <si>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</si>
  <si>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</si>
  <si>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</si>
  <si>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</si>
  <si>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</si>
  <si>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</si>
  <si>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</si>
  <si>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</si>
  <si>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</si>
  <si>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</si>
  <si>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</si>
  <si>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</si>
  <si>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</si>
  <si>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</si>
  <si>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</si>
  <si>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</si>
  <si>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</si>
  <si>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</si>
  <si>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</si>
  <si>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</si>
  <si>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</si>
  <si>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</si>
  <si>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</si>
  <si>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</si>
  <si>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</si>
  <si>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</si>
  <si>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</si>
  <si>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</si>
  <si>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24001</t>
  </si>
  <si>
    <t>AARSCHOT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</si>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</sst>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253484.29977980454</c:v>
                </c:pt>
                <c:pt idx="1">
                  <c:v>93804.189683537508</c:v>
                </c:pt>
                <c:pt idx="2">
                  <c:v>1824.501</c:v>
                </c:pt>
                <c:pt idx="3">
                  <c:v>13844.427427707404</c:v>
                </c:pt>
                <c:pt idx="4">
                  <c:v>56982.350912282549</c:v>
                </c:pt>
                <c:pt idx="5">
                  <c:v>308000.79361322313</c:v>
                </c:pt>
                <c:pt idx="6">
                  <c:v>3989.917067926764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253484.29977980454</c:v>
                </c:pt>
                <c:pt idx="1">
                  <c:v>93804.189683537508</c:v>
                </c:pt>
                <c:pt idx="2">
                  <c:v>1824.501</c:v>
                </c:pt>
                <c:pt idx="3">
                  <c:v>13844.427427707404</c:v>
                </c:pt>
                <c:pt idx="4">
                  <c:v>56982.350912282549</c:v>
                </c:pt>
                <c:pt idx="5">
                  <c:v>308000.79361322313</c:v>
                </c:pt>
                <c:pt idx="6">
                  <c:v>3989.917067926764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55297.115959911738</c:v>
                </c:pt>
                <c:pt idx="1">
                  <c:v>18376.151343116522</c:v>
                </c:pt>
                <c:pt idx="2">
                  <c:v>376.64203285129878</c:v>
                </c:pt>
                <c:pt idx="3">
                  <c:v>3231.0022488578293</c:v>
                </c:pt>
                <c:pt idx="4">
                  <c:v>10979.678196781511</c:v>
                </c:pt>
                <c:pt idx="5">
                  <c:v>77185.466941382954</c:v>
                </c:pt>
                <c:pt idx="6">
                  <c:v>1007.8340209183532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75168"/>
        <c:axId val="177201536"/>
      </c:barChart>
      <c:catAx>
        <c:axId val="177175168"/>
        <c:scaling>
          <c:orientation val="minMax"/>
        </c:scaling>
        <c:axPos val="b"/>
        <c:numFmt formatCode="General" sourceLinked="0"/>
        <c:tickLblPos val="nextTo"/>
        <c:crossAx val="177201536"/>
        <c:crosses val="autoZero"/>
        <c:auto val="1"/>
        <c:lblAlgn val="ctr"/>
        <c:lblOffset val="100"/>
      </c:catAx>
      <c:valAx>
        <c:axId val="177201536"/>
        <c:scaling>
          <c:orientation val="minMax"/>
        </c:scaling>
        <c:axPos val="l"/>
        <c:majorGridlines/>
        <c:numFmt formatCode="#,##0" sourceLinked="1"/>
        <c:tickLblPos val="nextTo"/>
        <c:crossAx val="1771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55297.115959911738</c:v>
                </c:pt>
                <c:pt idx="1">
                  <c:v>18376.151343116522</c:v>
                </c:pt>
                <c:pt idx="2">
                  <c:v>376.64203285129878</c:v>
                </c:pt>
                <c:pt idx="3">
                  <c:v>3231.0022488578293</c:v>
                </c:pt>
                <c:pt idx="4">
                  <c:v>10979.678196781511</c:v>
                </c:pt>
                <c:pt idx="5">
                  <c:v>77185.466941382954</c:v>
                </c:pt>
                <c:pt idx="6">
                  <c:v>1007.8340209183532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24001</v>
      </c>
      <c r="B6" s="416"/>
      <c r="C6" s="417"/>
    </row>
    <row r="7" spans="1:7" s="414" customFormat="1" ht="15.75" customHeight="1">
      <c r="A7" s="418" t="str">
        <f>txtMunicipality</f>
        <v>AARSCHOT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12938</v>
      </c>
      <c r="C9" s="342">
        <v>13373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1531</v>
      </c>
    </row>
    <row r="15" spans="1:6">
      <c r="A15" s="348" t="s">
        <v>184</v>
      </c>
      <c r="B15" s="334">
        <v>721</v>
      </c>
    </row>
    <row r="16" spans="1:6">
      <c r="A16" s="348" t="s">
        <v>6</v>
      </c>
      <c r="B16" s="334">
        <v>130</v>
      </c>
    </row>
    <row r="17" spans="1:6">
      <c r="A17" s="348" t="s">
        <v>7</v>
      </c>
      <c r="B17" s="334">
        <v>173</v>
      </c>
    </row>
    <row r="18" spans="1:6">
      <c r="A18" s="348" t="s">
        <v>8</v>
      </c>
      <c r="B18" s="334">
        <v>305</v>
      </c>
    </row>
    <row r="19" spans="1:6">
      <c r="A19" s="348" t="s">
        <v>9</v>
      </c>
      <c r="B19" s="334">
        <v>248</v>
      </c>
    </row>
    <row r="20" spans="1:6">
      <c r="A20" s="348" t="s">
        <v>10</v>
      </c>
      <c r="B20" s="334">
        <v>158</v>
      </c>
    </row>
    <row r="21" spans="1:6">
      <c r="A21" s="348" t="s">
        <v>11</v>
      </c>
      <c r="B21" s="334">
        <v>234</v>
      </c>
    </row>
    <row r="22" spans="1:6">
      <c r="A22" s="348" t="s">
        <v>12</v>
      </c>
      <c r="B22" s="334">
        <v>597</v>
      </c>
    </row>
    <row r="23" spans="1:6">
      <c r="A23" s="348" t="s">
        <v>13</v>
      </c>
      <c r="B23" s="334">
        <v>0</v>
      </c>
    </row>
    <row r="24" spans="1:6">
      <c r="A24" s="348" t="s">
        <v>14</v>
      </c>
      <c r="B24" s="334">
        <v>1</v>
      </c>
    </row>
    <row r="25" spans="1:6">
      <c r="A25" s="348" t="s">
        <v>15</v>
      </c>
      <c r="B25" s="334">
        <v>92</v>
      </c>
    </row>
    <row r="26" spans="1:6">
      <c r="A26" s="348" t="s">
        <v>16</v>
      </c>
      <c r="B26" s="334">
        <v>276</v>
      </c>
    </row>
    <row r="27" spans="1:6">
      <c r="A27" s="348" t="s">
        <v>17</v>
      </c>
      <c r="B27" s="334">
        <v>3</v>
      </c>
    </row>
    <row r="28" spans="1:6" s="356" customFormat="1">
      <c r="A28" s="355" t="s">
        <v>18</v>
      </c>
      <c r="B28" s="355">
        <v>9082</v>
      </c>
    </row>
    <row r="29" spans="1:6">
      <c r="A29" s="355" t="s">
        <v>828</v>
      </c>
      <c r="B29" s="355">
        <v>233</v>
      </c>
      <c r="C29" s="356"/>
      <c r="D29" s="356"/>
      <c r="E29" s="356"/>
      <c r="F29" s="356"/>
    </row>
    <row r="30" spans="1:6">
      <c r="A30" s="341" t="s">
        <v>829</v>
      </c>
      <c r="B30" s="341">
        <v>41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3333.864</v>
      </c>
    </row>
    <row r="39" spans="1:6">
      <c r="A39" s="348" t="s">
        <v>30</v>
      </c>
      <c r="B39" s="348" t="s">
        <v>31</v>
      </c>
      <c r="C39" s="334">
        <v>5959</v>
      </c>
      <c r="D39" s="334">
        <v>80867755.164844304</v>
      </c>
      <c r="E39" s="334">
        <v>12951</v>
      </c>
      <c r="F39" s="334">
        <v>48410702</v>
      </c>
    </row>
    <row r="40" spans="1:6">
      <c r="A40" s="348" t="s">
        <v>30</v>
      </c>
      <c r="B40" s="348" t="s">
        <v>29</v>
      </c>
      <c r="C40" s="334">
        <v>0</v>
      </c>
      <c r="D40" s="334">
        <v>0</v>
      </c>
      <c r="E40" s="334">
        <v>0</v>
      </c>
      <c r="F40" s="334">
        <v>0</v>
      </c>
    </row>
    <row r="41" spans="1:6">
      <c r="A41" s="348" t="s">
        <v>32</v>
      </c>
      <c r="B41" s="348" t="s">
        <v>33</v>
      </c>
      <c r="C41" s="334">
        <v>38</v>
      </c>
      <c r="D41" s="334">
        <v>904302.07483370195</v>
      </c>
      <c r="E41" s="334">
        <v>205</v>
      </c>
      <c r="F41" s="334">
        <v>2376704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65313.040546834804</v>
      </c>
      <c r="E44" s="334">
        <v>19</v>
      </c>
      <c r="F44" s="334">
        <v>736211.4</v>
      </c>
    </row>
    <row r="45" spans="1:6">
      <c r="A45" s="348" t="s">
        <v>32</v>
      </c>
      <c r="B45" s="348" t="s">
        <v>37</v>
      </c>
      <c r="C45" s="334">
        <v>0</v>
      </c>
      <c r="D45" s="334">
        <v>0</v>
      </c>
      <c r="E45" s="334">
        <v>3</v>
      </c>
      <c r="F45" s="334">
        <v>598023.1</v>
      </c>
    </row>
    <row r="46" spans="1:6">
      <c r="A46" s="348" t="s">
        <v>32</v>
      </c>
      <c r="B46" s="348" t="s">
        <v>38</v>
      </c>
      <c r="C46" s="334">
        <v>0</v>
      </c>
      <c r="D46" s="334">
        <v>0</v>
      </c>
      <c r="E46" s="334">
        <v>0</v>
      </c>
      <c r="F46" s="334">
        <v>0</v>
      </c>
    </row>
    <row r="47" spans="1:6">
      <c r="A47" s="348" t="s">
        <v>32</v>
      </c>
      <c r="B47" s="348" t="s">
        <v>39</v>
      </c>
      <c r="C47" s="334">
        <v>0</v>
      </c>
      <c r="D47" s="334">
        <v>0</v>
      </c>
      <c r="E47" s="334">
        <v>19</v>
      </c>
      <c r="F47" s="334">
        <v>2022812</v>
      </c>
    </row>
    <row r="48" spans="1:6">
      <c r="A48" s="348" t="s">
        <v>32</v>
      </c>
      <c r="B48" s="348" t="s">
        <v>29</v>
      </c>
      <c r="C48" s="334">
        <v>51</v>
      </c>
      <c r="D48" s="334">
        <v>10969394.556778699</v>
      </c>
      <c r="E48" s="334">
        <v>72</v>
      </c>
      <c r="F48" s="334">
        <v>23343519</v>
      </c>
    </row>
    <row r="49" spans="1:6">
      <c r="A49" s="348" t="s">
        <v>32</v>
      </c>
      <c r="B49" s="348" t="s">
        <v>40</v>
      </c>
      <c r="C49" s="334">
        <v>0</v>
      </c>
      <c r="D49" s="334">
        <v>0</v>
      </c>
      <c r="E49" s="334">
        <v>3</v>
      </c>
      <c r="F49" s="334">
        <v>14304.92</v>
      </c>
    </row>
    <row r="50" spans="1:6">
      <c r="A50" s="348" t="s">
        <v>32</v>
      </c>
      <c r="B50" s="348" t="s">
        <v>41</v>
      </c>
      <c r="C50" s="334">
        <v>13</v>
      </c>
      <c r="D50" s="334">
        <v>313466.94509432098</v>
      </c>
      <c r="E50" s="334">
        <v>16</v>
      </c>
      <c r="F50" s="334">
        <v>394864.2</v>
      </c>
    </row>
    <row r="51" spans="1:6">
      <c r="A51" s="348" t="s">
        <v>42</v>
      </c>
      <c r="B51" s="348" t="s">
        <v>43</v>
      </c>
      <c r="C51" s="334">
        <v>0</v>
      </c>
      <c r="D51" s="334">
        <v>0</v>
      </c>
      <c r="E51" s="334">
        <v>43</v>
      </c>
      <c r="F51" s="334">
        <v>2023825</v>
      </c>
    </row>
    <row r="52" spans="1:6">
      <c r="A52" s="348" t="s">
        <v>42</v>
      </c>
      <c r="B52" s="348" t="s">
        <v>29</v>
      </c>
      <c r="C52" s="334">
        <v>4</v>
      </c>
      <c r="D52" s="334">
        <v>1955044.5024121299</v>
      </c>
      <c r="E52" s="334">
        <v>19</v>
      </c>
      <c r="F52" s="334">
        <v>228405.2</v>
      </c>
    </row>
    <row r="53" spans="1:6">
      <c r="A53" s="348" t="s">
        <v>44</v>
      </c>
      <c r="B53" s="348" t="s">
        <v>45</v>
      </c>
      <c r="C53" s="334">
        <v>191</v>
      </c>
      <c r="D53" s="334">
        <v>4155495.4497376401</v>
      </c>
      <c r="E53" s="334">
        <v>539</v>
      </c>
      <c r="F53" s="334">
        <v>1872410</v>
      </c>
    </row>
    <row r="54" spans="1:6">
      <c r="A54" s="348" t="s">
        <v>46</v>
      </c>
      <c r="B54" s="348" t="s">
        <v>47</v>
      </c>
      <c r="C54" s="334">
        <v>0</v>
      </c>
      <c r="D54" s="334">
        <v>0</v>
      </c>
      <c r="E54" s="334">
        <v>1</v>
      </c>
      <c r="F54" s="334">
        <v>1824501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90</v>
      </c>
      <c r="D57" s="334">
        <v>15691260.0402977</v>
      </c>
      <c r="E57" s="334">
        <v>279</v>
      </c>
      <c r="F57" s="334">
        <v>7187330</v>
      </c>
    </row>
    <row r="58" spans="1:6">
      <c r="A58" s="348" t="s">
        <v>49</v>
      </c>
      <c r="B58" s="348" t="s">
        <v>51</v>
      </c>
      <c r="C58" s="334">
        <v>53</v>
      </c>
      <c r="D58" s="334">
        <v>5614691.2751233103</v>
      </c>
      <c r="E58" s="334">
        <v>85</v>
      </c>
      <c r="F58" s="334">
        <v>2996984</v>
      </c>
    </row>
    <row r="59" spans="1:6">
      <c r="A59" s="348" t="s">
        <v>49</v>
      </c>
      <c r="B59" s="348" t="s">
        <v>52</v>
      </c>
      <c r="C59" s="334">
        <v>171</v>
      </c>
      <c r="D59" s="334">
        <v>8736459.1935154498</v>
      </c>
      <c r="E59" s="334">
        <v>391</v>
      </c>
      <c r="F59" s="334">
        <v>13080470</v>
      </c>
    </row>
    <row r="60" spans="1:6">
      <c r="A60" s="348" t="s">
        <v>49</v>
      </c>
      <c r="B60" s="348" t="s">
        <v>53</v>
      </c>
      <c r="C60" s="334">
        <v>100</v>
      </c>
      <c r="D60" s="334">
        <v>4044920.9842462498</v>
      </c>
      <c r="E60" s="334">
        <v>175</v>
      </c>
      <c r="F60" s="334">
        <v>3924665</v>
      </c>
    </row>
    <row r="61" spans="1:6">
      <c r="A61" s="348" t="s">
        <v>49</v>
      </c>
      <c r="B61" s="348" t="s">
        <v>54</v>
      </c>
      <c r="C61" s="334">
        <v>167</v>
      </c>
      <c r="D61" s="334">
        <v>5083505.0501293102</v>
      </c>
      <c r="E61" s="334">
        <v>447</v>
      </c>
      <c r="F61" s="334">
        <v>5195045</v>
      </c>
    </row>
    <row r="62" spans="1:6">
      <c r="A62" s="348" t="s">
        <v>49</v>
      </c>
      <c r="B62" s="348" t="s">
        <v>55</v>
      </c>
      <c r="C62" s="334">
        <v>14</v>
      </c>
      <c r="D62" s="334">
        <v>1083432.6718770801</v>
      </c>
      <c r="E62" s="334">
        <v>22</v>
      </c>
      <c r="F62" s="334">
        <v>1596242</v>
      </c>
    </row>
    <row r="63" spans="1:6">
      <c r="A63" s="348" t="s">
        <v>49</v>
      </c>
      <c r="B63" s="348" t="s">
        <v>29</v>
      </c>
      <c r="C63" s="334">
        <v>178</v>
      </c>
      <c r="D63" s="334">
        <v>7232658.9482427901</v>
      </c>
      <c r="E63" s="334">
        <v>238</v>
      </c>
      <c r="F63" s="334">
        <v>4672941</v>
      </c>
    </row>
    <row r="64" spans="1:6">
      <c r="A64" s="348" t="s">
        <v>56</v>
      </c>
      <c r="B64" s="348" t="s">
        <v>57</v>
      </c>
      <c r="C64" s="334">
        <v>0</v>
      </c>
      <c r="D64" s="334">
        <v>0</v>
      </c>
      <c r="E64" s="334">
        <v>0</v>
      </c>
      <c r="F64" s="334">
        <v>0</v>
      </c>
    </row>
    <row r="65" spans="1:6">
      <c r="A65" s="348" t="s">
        <v>56</v>
      </c>
      <c r="B65" s="348" t="s">
        <v>29</v>
      </c>
      <c r="C65" s="334">
        <v>5</v>
      </c>
      <c r="D65" s="334">
        <v>179443.946427499</v>
      </c>
      <c r="E65" s="334">
        <v>4</v>
      </c>
      <c r="F65" s="334">
        <v>66132.06</v>
      </c>
    </row>
    <row r="66" spans="1:6">
      <c r="A66" s="348" t="s">
        <v>56</v>
      </c>
      <c r="B66" s="348" t="s">
        <v>58</v>
      </c>
      <c r="C66" s="334">
        <v>0</v>
      </c>
      <c r="D66" s="334">
        <v>0</v>
      </c>
      <c r="E66" s="334">
        <v>27</v>
      </c>
      <c r="F66" s="334">
        <v>751820</v>
      </c>
    </row>
    <row r="67" spans="1:6">
      <c r="A67" s="355" t="s">
        <v>56</v>
      </c>
      <c r="B67" s="355" t="s">
        <v>59</v>
      </c>
      <c r="C67" s="334">
        <v>0</v>
      </c>
      <c r="D67" s="334">
        <v>0</v>
      </c>
      <c r="E67" s="334">
        <v>0</v>
      </c>
      <c r="F67" s="334">
        <v>0</v>
      </c>
    </row>
    <row r="68" spans="1:6">
      <c r="A68" s="341" t="s">
        <v>56</v>
      </c>
      <c r="B68" s="341" t="s">
        <v>60</v>
      </c>
      <c r="C68" s="334">
        <v>0</v>
      </c>
      <c r="D68" s="334">
        <v>0</v>
      </c>
      <c r="E68" s="334">
        <v>13</v>
      </c>
      <c r="F68" s="334">
        <v>238545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130102429</v>
      </c>
      <c r="E73" s="477">
        <v>134032269.04409273</v>
      </c>
    </row>
    <row r="74" spans="1:6">
      <c r="A74" s="348" t="s">
        <v>64</v>
      </c>
      <c r="B74" s="348" t="s">
        <v>714</v>
      </c>
      <c r="C74" s="1229" t="s">
        <v>716</v>
      </c>
      <c r="D74" s="477">
        <v>12219863.450992653</v>
      </c>
      <c r="E74" s="477">
        <v>12270946.731227279</v>
      </c>
    </row>
    <row r="75" spans="1:6">
      <c r="A75" s="348" t="s">
        <v>65</v>
      </c>
      <c r="B75" s="348" t="s">
        <v>713</v>
      </c>
      <c r="C75" s="1229" t="s">
        <v>717</v>
      </c>
      <c r="D75" s="477">
        <v>52192000</v>
      </c>
      <c r="E75" s="477">
        <v>53352594.179859668</v>
      </c>
    </row>
    <row r="76" spans="1:6">
      <c r="A76" s="348" t="s">
        <v>65</v>
      </c>
      <c r="B76" s="348" t="s">
        <v>714</v>
      </c>
      <c r="C76" s="1229" t="s">
        <v>718</v>
      </c>
      <c r="D76" s="477">
        <v>1322457.4509926529</v>
      </c>
      <c r="E76" s="477">
        <v>1343628.1562707312</v>
      </c>
    </row>
    <row r="77" spans="1:6">
      <c r="A77" s="348" t="s">
        <v>66</v>
      </c>
      <c r="B77" s="348" t="s">
        <v>713</v>
      </c>
      <c r="C77" s="1229" t="s">
        <v>719</v>
      </c>
      <c r="D77" s="477">
        <v>154102257</v>
      </c>
      <c r="E77" s="477">
        <v>168984314.54247007</v>
      </c>
    </row>
    <row r="78" spans="1:6">
      <c r="A78" s="341" t="s">
        <v>66</v>
      </c>
      <c r="B78" s="341" t="s">
        <v>714</v>
      </c>
      <c r="C78" s="341" t="s">
        <v>720</v>
      </c>
      <c r="D78" s="1225">
        <v>16462845</v>
      </c>
      <c r="E78" s="1225">
        <v>16625926.146350889</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1066201.0980146942</v>
      </c>
      <c r="C83" s="477">
        <v>1059828.0004876654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27.120179372197306</v>
      </c>
    </row>
    <row r="90" spans="1:6">
      <c r="A90" s="348" t="s">
        <v>559</v>
      </c>
      <c r="B90" s="1226">
        <v>0</v>
      </c>
    </row>
    <row r="91" spans="1:6">
      <c r="A91" s="348" t="s">
        <v>68</v>
      </c>
      <c r="B91" s="334">
        <v>4984.3466555724726</v>
      </c>
    </row>
    <row r="92" spans="1:6">
      <c r="A92" s="341" t="s">
        <v>69</v>
      </c>
      <c r="B92" s="342">
        <v>3269.6565190870842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2902</v>
      </c>
    </row>
    <row r="98" spans="1:6">
      <c r="A98" s="348" t="s">
        <v>72</v>
      </c>
      <c r="B98" s="334">
        <v>5</v>
      </c>
    </row>
    <row r="99" spans="1:6">
      <c r="A99" s="348" t="s">
        <v>73</v>
      </c>
      <c r="B99" s="334">
        <v>234</v>
      </c>
    </row>
    <row r="100" spans="1:6">
      <c r="A100" s="348" t="s">
        <v>74</v>
      </c>
      <c r="B100" s="334">
        <v>851</v>
      </c>
    </row>
    <row r="101" spans="1:6">
      <c r="A101" s="348" t="s">
        <v>75</v>
      </c>
      <c r="B101" s="334">
        <v>108</v>
      </c>
    </row>
    <row r="102" spans="1:6">
      <c r="A102" s="348" t="s">
        <v>76</v>
      </c>
      <c r="B102" s="334">
        <v>153</v>
      </c>
    </row>
    <row r="103" spans="1:6">
      <c r="A103" s="348" t="s">
        <v>77</v>
      </c>
      <c r="B103" s="334">
        <v>296</v>
      </c>
    </row>
    <row r="104" spans="1:6">
      <c r="A104" s="348" t="s">
        <v>78</v>
      </c>
      <c r="B104" s="334">
        <v>6974</v>
      </c>
    </row>
    <row r="105" spans="1:6">
      <c r="A105" s="341" t="s">
        <v>79</v>
      </c>
      <c r="B105" s="341">
        <v>15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25</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144</v>
      </c>
    </row>
    <row r="130" spans="1:6">
      <c r="A130" s="348" t="s">
        <v>295</v>
      </c>
      <c r="B130" s="334">
        <v>2</v>
      </c>
    </row>
    <row r="131" spans="1:6">
      <c r="A131" s="348" t="s">
        <v>296</v>
      </c>
      <c r="B131" s="334">
        <v>4</v>
      </c>
    </row>
    <row r="132" spans="1:6">
      <c r="A132" s="341" t="s">
        <v>297</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125657.99982587359</v>
      </c>
      <c r="C3" s="43" t="s">
        <v>170</v>
      </c>
      <c r="D3" s="43"/>
      <c r="E3" s="154"/>
      <c r="F3" s="43"/>
      <c r="G3" s="43"/>
      <c r="H3" s="43"/>
      <c r="I3" s="43"/>
      <c r="J3" s="43"/>
      <c r="K3" s="96"/>
    </row>
    <row r="4" spans="1:11">
      <c r="A4" s="384" t="s">
        <v>171</v>
      </c>
      <c r="B4" s="49">
        <f>IF(ISERROR('SEAP template'!B69),0,'SEAP template'!B69)</f>
        <v>8281.1233540317535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0.20643564067725848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1824.501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1824.501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0.20643564067725848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376.64203285129878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48410.701999999997</v>
      </c>
      <c r="C5" s="17">
        <f>IF(ISERROR('Eigen informatie GS &amp; warmtenet'!B57),0,'Eigen informatie GS &amp; warmtenet'!B57)</f>
        <v>0</v>
      </c>
      <c r="D5" s="30">
        <f>(SUM(HH_hh_gas_kWh,HH_rest_gas_kWh)/1000)*0.902</f>
        <v>72942.715158689563</v>
      </c>
      <c r="E5" s="17">
        <f>B46*B57</f>
        <v>7867.4934598925911</v>
      </c>
      <c r="F5" s="17">
        <f>B51*B62</f>
        <v>103948.03522192633</v>
      </c>
      <c r="G5" s="18"/>
      <c r="H5" s="17"/>
      <c r="I5" s="17"/>
      <c r="J5" s="17">
        <f>B50*B61+C50*C61</f>
        <v>0</v>
      </c>
      <c r="K5" s="17"/>
      <c r="L5" s="17"/>
      <c r="M5" s="17"/>
      <c r="N5" s="17">
        <f>B48*B59+C48*C59</f>
        <v>13770.2706170569</v>
      </c>
      <c r="O5" s="17">
        <f>B69*B70*B71</f>
        <v>264.20333333333338</v>
      </c>
      <c r="P5" s="17">
        <f>B77*B78*B79/1000-B77*B78*B79/1000/B80</f>
        <v>1296.5333333333333</v>
      </c>
    </row>
    <row r="6" spans="1:16">
      <c r="A6" s="16" t="s">
        <v>631</v>
      </c>
      <c r="B6" s="844">
        <f>kWh_PV_kleiner_dan_10kW</f>
        <v>4984.3466555724726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53395.048655572471</v>
      </c>
      <c r="C8" s="21">
        <f>C5</f>
        <v>0</v>
      </c>
      <c r="D8" s="21">
        <f>D5</f>
        <v>72942.715158689563</v>
      </c>
      <c r="E8" s="21">
        <f>E5</f>
        <v>7867.4934598925911</v>
      </c>
      <c r="F8" s="21">
        <f>F5</f>
        <v>103948.03522192633</v>
      </c>
      <c r="G8" s="21"/>
      <c r="H8" s="21"/>
      <c r="I8" s="21"/>
      <c r="J8" s="21">
        <f>J5</f>
        <v>0</v>
      </c>
      <c r="K8" s="21"/>
      <c r="L8" s="21">
        <f>L5</f>
        <v>0</v>
      </c>
      <c r="M8" s="21">
        <f>M5</f>
        <v>0</v>
      </c>
      <c r="N8" s="21">
        <f>N5</f>
        <v>13770.2706170569</v>
      </c>
      <c r="O8" s="21">
        <f>O5</f>
        <v>264.20333333333338</v>
      </c>
      <c r="P8" s="21">
        <f>P5</f>
        <v>1296.5333333333333</v>
      </c>
    </row>
    <row r="9" spans="1:16">
      <c r="B9" s="19"/>
      <c r="C9" s="19"/>
      <c r="D9" s="258"/>
      <c r="E9" s="19"/>
      <c r="F9" s="19"/>
      <c r="G9" s="19"/>
      <c r="H9" s="19"/>
      <c r="I9" s="19"/>
      <c r="J9" s="19"/>
      <c r="K9" s="19"/>
      <c r="L9" s="19"/>
      <c r="M9" s="19"/>
      <c r="N9" s="19"/>
      <c r="O9" s="19"/>
      <c r="P9" s="19"/>
    </row>
    <row r="10" spans="1:16">
      <c r="A10" s="24" t="s">
        <v>214</v>
      </c>
      <c r="B10" s="25">
        <f ca="1">'EF ele_warmte'!B12</f>
        <v>0.20643564067725848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11022.641078206492</v>
      </c>
      <c r="C12" s="23">
        <f ca="1">C10*C8</f>
        <v>0</v>
      </c>
      <c r="D12" s="23">
        <f>D8*D10</f>
        <v>14734.428462055293</v>
      </c>
      <c r="E12" s="23">
        <f>E10*E8</f>
        <v>1785.9210153956183</v>
      </c>
      <c r="F12" s="23">
        <f>F10*F8</f>
        <v>27754.125404254333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2902</v>
      </c>
      <c r="C18" s="166" t="s">
        <v>111</v>
      </c>
      <c r="D18" s="228"/>
      <c r="E18" s="15"/>
    </row>
    <row r="19" spans="1:7">
      <c r="A19" s="171" t="s">
        <v>72</v>
      </c>
      <c r="B19" s="37">
        <f>aantalw2001_ander</f>
        <v>5</v>
      </c>
      <c r="C19" s="166" t="s">
        <v>111</v>
      </c>
      <c r="D19" s="229"/>
      <c r="E19" s="15"/>
    </row>
    <row r="20" spans="1:7">
      <c r="A20" s="171" t="s">
        <v>73</v>
      </c>
      <c r="B20" s="37">
        <f>aantalw2001_propaan</f>
        <v>234</v>
      </c>
      <c r="C20" s="167">
        <f>IF(ISERROR(B20/SUM($B$20,$B$21,$B$22)*100),0,B20/SUM($B$20,$B$21,$B$22)*100)</f>
        <v>19.614417435037719</v>
      </c>
      <c r="D20" s="229"/>
      <c r="E20" s="15"/>
    </row>
    <row r="21" spans="1:7">
      <c r="A21" s="171" t="s">
        <v>74</v>
      </c>
      <c r="B21" s="37">
        <f>aantalw2001_elektriciteit</f>
        <v>851</v>
      </c>
      <c r="C21" s="167">
        <f>IF(ISERROR(B21/SUM($B$20,$B$21,$B$22)*100),0,B21/SUM($B$20,$B$21,$B$22)*100)</f>
        <v>71.332774518021793</v>
      </c>
      <c r="D21" s="229"/>
      <c r="E21" s="15"/>
    </row>
    <row r="22" spans="1:7">
      <c r="A22" s="171" t="s">
        <v>75</v>
      </c>
      <c r="B22" s="37">
        <f>aantalw2001_hout</f>
        <v>108</v>
      </c>
      <c r="C22" s="167">
        <f>IF(ISERROR(B22/SUM($B$20,$B$21,$B$22)*100),0,B22/SUM($B$20,$B$21,$B$22)*100)</f>
        <v>9.0528080469404859</v>
      </c>
      <c r="D22" s="229"/>
      <c r="E22" s="15"/>
    </row>
    <row r="23" spans="1:7">
      <c r="A23" s="171" t="s">
        <v>76</v>
      </c>
      <c r="B23" s="37">
        <f>aantalw2001_niet_gespec</f>
        <v>153</v>
      </c>
      <c r="C23" s="166" t="s">
        <v>111</v>
      </c>
      <c r="D23" s="228"/>
      <c r="E23" s="15"/>
    </row>
    <row r="24" spans="1:7">
      <c r="A24" s="171" t="s">
        <v>77</v>
      </c>
      <c r="B24" s="37">
        <f>aantalw2001_steenkool</f>
        <v>296</v>
      </c>
      <c r="C24" s="166" t="s">
        <v>111</v>
      </c>
      <c r="D24" s="229"/>
      <c r="E24" s="15"/>
    </row>
    <row r="25" spans="1:7">
      <c r="A25" s="171" t="s">
        <v>78</v>
      </c>
      <c r="B25" s="37">
        <f>aantalw2001_stookolie</f>
        <v>6974</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740</v>
      </c>
      <c r="B28" s="37">
        <f>aantalHuishoudens2011</f>
        <v>12938</v>
      </c>
      <c r="C28" s="36"/>
      <c r="D28" s="228"/>
    </row>
    <row r="29" spans="1:7" s="15" customFormat="1">
      <c r="A29" s="230" t="s">
        <v>741</v>
      </c>
      <c r="B29" s="37">
        <f>SUM(HH_hh_gas_aantal,HH_rest_gas_aantal)</f>
        <v>5959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5959</v>
      </c>
      <c r="C32" s="167">
        <f>IF(ISERROR(B32/SUM($B$32,$B$34,$B$35,$B$36,$B$38,$B$39)*100),0,B32/SUM($B$32,$B$34,$B$35,$B$36,$B$38,$B$39)*100)</f>
        <v>46.301476301476299</v>
      </c>
      <c r="D32" s="233"/>
      <c r="G32" s="15"/>
    </row>
    <row r="33" spans="1:7">
      <c r="A33" s="171" t="s">
        <v>72</v>
      </c>
      <c r="B33" s="34" t="s">
        <v>111</v>
      </c>
      <c r="C33" s="167"/>
      <c r="D33" s="233"/>
      <c r="G33" s="15"/>
    </row>
    <row r="34" spans="1:7">
      <c r="A34" s="171" t="s">
        <v>73</v>
      </c>
      <c r="B34" s="33">
        <f>IF((($B$28-$B$32-$B$39-$B$77-$B$38)*C20/100)&lt;0,0,($B$28-$B$32-$B$39-$B$77-$B$38)*C20/100)</f>
        <v>527.29438390611904</v>
      </c>
      <c r="C34" s="167">
        <f>IF(ISERROR(B34/SUM($B$32,$B$34,$B$35,$B$36,$B$38,$B$39)*100),0,B34/SUM($B$32,$B$34,$B$35,$B$36,$B$38,$B$39)*100)</f>
        <v>4.0970814600320056</v>
      </c>
      <c r="D34" s="233"/>
      <c r="G34" s="15"/>
    </row>
    <row r="35" spans="1:7">
      <c r="A35" s="171" t="s">
        <v>74</v>
      </c>
      <c r="B35" s="33">
        <f>IF((($B$28-$B$32-$B$39-$B$77-$B$38)*C21/100)&lt;0,0,($B$28-$B$32-$B$39-$B$77-$B$38)*C21/100)</f>
        <v>1917.63897736798</v>
      </c>
      <c r="C35" s="167">
        <f>IF(ISERROR(B35/SUM($B$32,$B$34,$B$35,$B$36,$B$38,$B$39)*100),0,B35/SUM($B$32,$B$34,$B$35,$B$36,$B$38,$B$39)*100)</f>
        <v>14.900069754218958</v>
      </c>
      <c r="D35" s="233"/>
      <c r="G35" s="15"/>
    </row>
    <row r="36" spans="1:7">
      <c r="A36" s="171" t="s">
        <v>75</v>
      </c>
      <c r="B36" s="33">
        <f>IF((($B$28-$B$32-$B$39-$B$77-$B$38)*C22/100)&lt;0,0,($B$28-$B$32-$B$39-$B$77-$B$38)*C22/100)</f>
        <v>243.36663872590111</v>
      </c>
      <c r="C36" s="167">
        <f>IF(ISERROR(B36/SUM($B$32,$B$34,$B$35,$B$36,$B$38,$B$39)*100),0,B36/SUM($B$32,$B$34,$B$35,$B$36,$B$38,$B$39)*100)</f>
        <v>1.8909606738609257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4222.7</v>
      </c>
      <c r="C39" s="167">
        <f>IF(ISERROR(B39/SUM($B$32,$B$34,$B$35,$B$36,$B$38,$B$39)*100),0,B39/SUM($B$32,$B$34,$B$35,$B$36,$B$38,$B$39)*100)</f>
        <v>32.810411810411807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5959</v>
      </c>
      <c r="C44" s="34" t="s">
        <v>111</v>
      </c>
      <c r="D44" s="174"/>
    </row>
    <row r="45" spans="1:7">
      <c r="A45" s="171" t="s">
        <v>72</v>
      </c>
      <c r="B45" s="33" t="str">
        <f t="shared" si="0"/>
        <v>-</v>
      </c>
      <c r="C45" s="34" t="s">
        <v>111</v>
      </c>
      <c r="D45" s="174"/>
    </row>
    <row r="46" spans="1:7">
      <c r="A46" s="171" t="s">
        <v>73</v>
      </c>
      <c r="B46" s="33">
        <f t="shared" si="0"/>
        <v>527.29438390611904</v>
      </c>
      <c r="C46" s="34" t="s">
        <v>111</v>
      </c>
      <c r="D46" s="174"/>
    </row>
    <row r="47" spans="1:7">
      <c r="A47" s="171" t="s">
        <v>74</v>
      </c>
      <c r="B47" s="33">
        <f t="shared" si="0"/>
        <v>1917.63897736798</v>
      </c>
      <c r="C47" s="34" t="s">
        <v>111</v>
      </c>
      <c r="D47" s="174"/>
    </row>
    <row r="48" spans="1:7">
      <c r="A48" s="171" t="s">
        <v>75</v>
      </c>
      <c r="B48" s="33">
        <f t="shared" si="0"/>
        <v>243.36663872590111</v>
      </c>
      <c r="C48" s="33">
        <f>B48*10</f>
        <v>2433.6663872590111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4222.7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38653.676999999996</v>
      </c>
      <c r="C5" s="17">
        <f>IF(ISERROR('Eigen informatie GS &amp; warmtenet'!B58),0,'Eigen informatie GS &amp; warmtenet'!B58)</f>
        <v>0</v>
      </c>
      <c r="D5" s="30">
        <f>SUM(D6:D12)</f>
        <v>42833.209203415565</v>
      </c>
      <c r="E5" s="17">
        <f>SUM(E6:E12)</f>
        <v>390.66175898461154</v>
      </c>
      <c r="F5" s="17">
        <f>SUM(F6:F12)</f>
        <v>6200.9973359934929</v>
      </c>
      <c r="G5" s="18"/>
      <c r="H5" s="17"/>
      <c r="I5" s="17"/>
      <c r="J5" s="17">
        <f>SUM(J6:J12)</f>
        <v>0</v>
      </c>
      <c r="K5" s="17"/>
      <c r="L5" s="17"/>
      <c r="M5" s="17"/>
      <c r="N5" s="17">
        <f>SUM(N6:N12)</f>
        <v>5646.2510518105119</v>
      </c>
      <c r="O5" s="17">
        <f>B38*B39*B40</f>
        <v>3.1266666666666669</v>
      </c>
      <c r="P5" s="17">
        <f>B46*B47*B48/1000-B46*B47*B48/1000/B49</f>
        <v>76.266666666666666</v>
      </c>
      <c r="R5" s="32"/>
    </row>
    <row r="6" spans="1:18">
      <c r="A6" s="32" t="s">
        <v>54</v>
      </c>
      <c r="B6" s="37">
        <f>B26</f>
        <v>5195.0450000000001</v>
      </c>
      <c r="C6" s="33"/>
      <c r="D6" s="37">
        <f>IF(ISERROR(TER_kantoor_gas_kWh/1000),0,TER_kantoor_gas_kWh/1000)*0.902</f>
        <v>4585.3215552166375</v>
      </c>
      <c r="E6" s="33">
        <f>$C$26*'E Balans VL '!I12/100/3.6*1000000</f>
        <v>15.050807586178824</v>
      </c>
      <c r="F6" s="33">
        <f>$C$26*('E Balans VL '!L12+'E Balans VL '!N12)/100/3.6*1000000</f>
        <v>587.96463828463004</v>
      </c>
      <c r="G6" s="34"/>
      <c r="H6" s="33"/>
      <c r="I6" s="33"/>
      <c r="J6" s="33">
        <f>$C$26*('E Balans VL '!D12+'E Balans VL '!E12)/100/3.6*1000000</f>
        <v>0</v>
      </c>
      <c r="K6" s="33"/>
      <c r="L6" s="33"/>
      <c r="M6" s="33"/>
      <c r="N6" s="33">
        <f>$C$26*'E Balans VL '!Y12/100/3.6*1000000</f>
        <v>51.998572569933884</v>
      </c>
      <c r="O6" s="33"/>
      <c r="P6" s="33"/>
      <c r="R6" s="32"/>
    </row>
    <row r="7" spans="1:18">
      <c r="A7" s="32" t="s">
        <v>53</v>
      </c>
      <c r="B7" s="37">
        <f t="shared" ref="B7:B12" si="0">B27</f>
        <v>3924.665</v>
      </c>
      <c r="C7" s="33"/>
      <c r="D7" s="37">
        <f>IF(ISERROR(TER_horeca_gas_kWh/1000),0,TER_horeca_gas_kWh/1000)*0.902</f>
        <v>3648.5187277901173</v>
      </c>
      <c r="E7" s="33">
        <f>$C$27*'E Balans VL '!I9/100/3.6*1000000</f>
        <v>164.74647140270631</v>
      </c>
      <c r="F7" s="33">
        <f>$C$27*('E Balans VL '!L9+'E Balans VL '!N9)/100/3.6*1000000</f>
        <v>843.29475808593565</v>
      </c>
      <c r="G7" s="34"/>
      <c r="H7" s="33"/>
      <c r="I7" s="33"/>
      <c r="J7" s="33">
        <f>$C$27*('E Balans VL '!D9+'E Balans VL '!E9)/100/3.6*1000000</f>
        <v>0</v>
      </c>
      <c r="K7" s="33"/>
      <c r="L7" s="33"/>
      <c r="M7" s="33"/>
      <c r="N7" s="33">
        <f>$C$27*'E Balans VL '!Y9/100/3.6*1000000</f>
        <v>1.0113518480594492</v>
      </c>
      <c r="O7" s="33"/>
      <c r="P7" s="33"/>
      <c r="R7" s="32"/>
    </row>
    <row r="8" spans="1:18">
      <c r="A8" s="6" t="s">
        <v>52</v>
      </c>
      <c r="B8" s="37">
        <f t="shared" si="0"/>
        <v>13080.47</v>
      </c>
      <c r="C8" s="33"/>
      <c r="D8" s="37">
        <f>IF(ISERROR(TER_handel_gas_kWh/1000),0,TER_handel_gas_kWh/1000)*0.902</f>
        <v>7880.286192550936</v>
      </c>
      <c r="E8" s="33">
        <f>$C$28*'E Balans VL '!I13/100/3.6*1000000</f>
        <v>140.49513436571306</v>
      </c>
      <c r="F8" s="33">
        <f>$C$28*('E Balans VL '!L13+'E Balans VL '!N13)/100/3.6*1000000</f>
        <v>1693.3748577945262</v>
      </c>
      <c r="G8" s="34"/>
      <c r="H8" s="33"/>
      <c r="I8" s="33"/>
      <c r="J8" s="33">
        <f>$C$28*('E Balans VL '!D13+'E Balans VL '!E13)/100/3.6*1000000</f>
        <v>0</v>
      </c>
      <c r="K8" s="33"/>
      <c r="L8" s="33"/>
      <c r="M8" s="33"/>
      <c r="N8" s="33">
        <f>$C$28*'E Balans VL '!Y13/100/3.6*1000000</f>
        <v>106.10948686471613</v>
      </c>
      <c r="O8" s="33"/>
      <c r="P8" s="33"/>
      <c r="R8" s="32"/>
    </row>
    <row r="9" spans="1:18">
      <c r="A9" s="32" t="s">
        <v>51</v>
      </c>
      <c r="B9" s="37">
        <f t="shared" si="0"/>
        <v>2996.9839999999999</v>
      </c>
      <c r="C9" s="33"/>
      <c r="D9" s="37">
        <f>IF(ISERROR(TER_gezond_gas_kWh/1000),0,TER_gezond_gas_kWh/1000)*0.902</f>
        <v>5064.4515301612264</v>
      </c>
      <c r="E9" s="33">
        <f>$C$29*'E Balans VL '!I10/100/3.6*1000000</f>
        <v>2.3857931037319999</v>
      </c>
      <c r="F9" s="33">
        <f>$C$29*('E Balans VL '!L10+'E Balans VL '!N10)/100/3.6*1000000</f>
        <v>364.32671551977808</v>
      </c>
      <c r="G9" s="34"/>
      <c r="H9" s="33"/>
      <c r="I9" s="33"/>
      <c r="J9" s="33">
        <f>$C$29*('E Balans VL '!D10+'E Balans VL '!E10)/100/3.6*1000000</f>
        <v>0</v>
      </c>
      <c r="K9" s="33"/>
      <c r="L9" s="33"/>
      <c r="M9" s="33"/>
      <c r="N9" s="33">
        <f>$C$29*'E Balans VL '!Y10/100/3.6*1000000</f>
        <v>24.208842753257859</v>
      </c>
      <c r="O9" s="33"/>
      <c r="P9" s="33"/>
      <c r="R9" s="32"/>
    </row>
    <row r="10" spans="1:18">
      <c r="A10" s="32" t="s">
        <v>50</v>
      </c>
      <c r="B10" s="37">
        <f t="shared" si="0"/>
        <v>7187.33</v>
      </c>
      <c r="C10" s="33"/>
      <c r="D10" s="37">
        <f>IF(ISERROR(TER_ander_gas_kWh/1000),0,TER_ander_gas_kWh/1000)*0.902</f>
        <v>14153.516556348526</v>
      </c>
      <c r="E10" s="33">
        <f>$C$30*'E Balans VL '!I14/100/3.6*1000000</f>
        <v>24.631357483918528</v>
      </c>
      <c r="F10" s="33">
        <f>$C$30*('E Balans VL '!L14+'E Balans VL '!N14)/100/3.6*1000000</f>
        <v>1605.3574633122914</v>
      </c>
      <c r="G10" s="34"/>
      <c r="H10" s="33"/>
      <c r="I10" s="33"/>
      <c r="J10" s="33">
        <f>$C$30*('E Balans VL '!D14+'E Balans VL '!E14)/100/3.6*1000000</f>
        <v>0</v>
      </c>
      <c r="K10" s="33"/>
      <c r="L10" s="33"/>
      <c r="M10" s="33"/>
      <c r="N10" s="33">
        <f>$C$30*'E Balans VL '!Y14/100/3.6*1000000</f>
        <v>5062.7945156162923</v>
      </c>
      <c r="O10" s="33"/>
      <c r="P10" s="33"/>
      <c r="R10" s="32"/>
    </row>
    <row r="11" spans="1:18">
      <c r="A11" s="32" t="s">
        <v>55</v>
      </c>
      <c r="B11" s="37">
        <f t="shared" si="0"/>
        <v>1596.242</v>
      </c>
      <c r="C11" s="33"/>
      <c r="D11" s="37">
        <f>IF(ISERROR(TER_onderwijs_gas_kWh/1000),0,TER_onderwijs_gas_kWh/1000)*0.902</f>
        <v>977.25627003312627</v>
      </c>
      <c r="E11" s="33">
        <f>$C$31*'E Balans VL '!I11/100/3.6*1000000</f>
        <v>1.103432934215383</v>
      </c>
      <c r="F11" s="33">
        <f>$C$31*('E Balans VL '!L11+'E Balans VL '!N11)/100/3.6*1000000</f>
        <v>417.84978791602288</v>
      </c>
      <c r="G11" s="34"/>
      <c r="H11" s="33"/>
      <c r="I11" s="33"/>
      <c r="J11" s="33">
        <f>$C$31*('E Balans VL '!D11+'E Balans VL '!E11)/100/3.6*1000000</f>
        <v>0</v>
      </c>
      <c r="K11" s="33"/>
      <c r="L11" s="33"/>
      <c r="M11" s="33"/>
      <c r="N11" s="33">
        <f>$C$31*'E Balans VL '!Y11/100/3.6*1000000</f>
        <v>1.5889229537122316</v>
      </c>
      <c r="O11" s="33"/>
      <c r="P11" s="33"/>
      <c r="R11" s="32"/>
    </row>
    <row r="12" spans="1:18">
      <c r="A12" s="32" t="s">
        <v>260</v>
      </c>
      <c r="B12" s="37">
        <f t="shared" si="0"/>
        <v>4672.9409999999998</v>
      </c>
      <c r="C12" s="33"/>
      <c r="D12" s="37">
        <f>IF(ISERROR(TER_rest_gas_kWh/1000),0,TER_rest_gas_kWh/1000)*0.902</f>
        <v>6523.8583713149965</v>
      </c>
      <c r="E12" s="33">
        <f>$C$32*'E Balans VL '!I8/100/3.6*1000000</f>
        <v>42.248762108147424</v>
      </c>
      <c r="F12" s="33">
        <f>$C$32*('E Balans VL '!L8+'E Balans VL '!N8)/100/3.6*1000000</f>
        <v>688.82911508030793</v>
      </c>
      <c r="G12" s="34"/>
      <c r="H12" s="33"/>
      <c r="I12" s="33"/>
      <c r="J12" s="33">
        <f>$C$32*('E Balans VL '!D8+'E Balans VL '!E8)/100/3.6*1000000</f>
        <v>0</v>
      </c>
      <c r="K12" s="33"/>
      <c r="L12" s="33"/>
      <c r="M12" s="33"/>
      <c r="N12" s="33">
        <f>$C$32*'E Balans VL '!Y8/100/3.6*1000000</f>
        <v>398.53935920454012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38653.676999999996</v>
      </c>
      <c r="C16" s="21">
        <f t="shared" ca="1" si="1"/>
        <v>0</v>
      </c>
      <c r="D16" s="21">
        <f t="shared" ca="1" si="1"/>
        <v>42833.209203415565</v>
      </c>
      <c r="E16" s="21">
        <f t="shared" si="1"/>
        <v>390.66175898461154</v>
      </c>
      <c r="F16" s="21">
        <f t="shared" ca="1" si="1"/>
        <v>6200.9973359934929</v>
      </c>
      <c r="G16" s="21">
        <f t="shared" si="1"/>
        <v>0</v>
      </c>
      <c r="H16" s="21">
        <f t="shared" si="1"/>
        <v>0</v>
      </c>
      <c r="I16" s="21">
        <f t="shared" si="1"/>
        <v>0</v>
      </c>
      <c r="J16" s="21">
        <f t="shared" si="1"/>
        <v>0</v>
      </c>
      <c r="K16" s="21">
        <f t="shared" si="1"/>
        <v>0</v>
      </c>
      <c r="L16" s="21">
        <f t="shared" ca="1" si="1"/>
        <v>0</v>
      </c>
      <c r="M16" s="21">
        <f t="shared" si="1"/>
        <v>0</v>
      </c>
      <c r="N16" s="21">
        <f t="shared" ca="1" si="1"/>
        <v>5646.2510518105119</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0.20643564067725848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7979.4965760268096</v>
      </c>
      <c r="C20" s="23">
        <f t="shared" ref="C20:P20" ca="1" si="2">C16*C18</f>
        <v>0</v>
      </c>
      <c r="D20" s="23">
        <f t="shared" ca="1" si="2"/>
        <v>8652.3082590899448</v>
      </c>
      <c r="E20" s="23">
        <f t="shared" si="2"/>
        <v>88.680219289506823</v>
      </c>
      <c r="F20" s="23">
        <f t="shared" ca="1" si="2"/>
        <v>1655.6662887102627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5195.0450000000001</v>
      </c>
      <c r="C26" s="39">
        <f>IF(ISERROR(B26*3.6/1000000/'E Balans VL '!Z12*100),0,B26*3.6/1000000/'E Balans VL '!Z12*100)</f>
        <v>0.11411516949845166</v>
      </c>
      <c r="D26" s="237" t="s">
        <v>692</v>
      </c>
      <c r="F26" s="6"/>
    </row>
    <row r="27" spans="1:18">
      <c r="A27" s="231" t="s">
        <v>53</v>
      </c>
      <c r="B27" s="33">
        <f>IF(ISERROR(TER_horeca_ele_kWh/1000),0,TER_horeca_ele_kWh/1000)</f>
        <v>3924.665</v>
      </c>
      <c r="C27" s="39">
        <f>IF(ISERROR(B27*3.6/1000000/'E Balans VL '!Z9*100),0,B27*3.6/1000000/'E Balans VL '!Z9*100)</f>
        <v>0.31538595427278743</v>
      </c>
      <c r="D27" s="237" t="s">
        <v>692</v>
      </c>
      <c r="F27" s="6"/>
    </row>
    <row r="28" spans="1:18">
      <c r="A28" s="171" t="s">
        <v>52</v>
      </c>
      <c r="B28" s="33">
        <f>IF(ISERROR(TER_handel_ele_kWh/1000),0,TER_handel_ele_kWh/1000)</f>
        <v>13080.47</v>
      </c>
      <c r="C28" s="39">
        <f>IF(ISERROR(B28*3.6/1000000/'E Balans VL '!Z13*100),0,B28*3.6/1000000/'E Balans VL '!Z13*100)</f>
        <v>0.38678035969178692</v>
      </c>
      <c r="D28" s="237" t="s">
        <v>692</v>
      </c>
      <c r="F28" s="6"/>
    </row>
    <row r="29" spans="1:18">
      <c r="A29" s="231" t="s">
        <v>51</v>
      </c>
      <c r="B29" s="33">
        <f>IF(ISERROR(TER_gezond_ele_kWh/1000),0,TER_gezond_ele_kWh/1000)</f>
        <v>2996.9839999999999</v>
      </c>
      <c r="C29" s="39">
        <f>IF(ISERROR(B29*3.6/1000000/'E Balans VL '!Z10*100),0,B29*3.6/1000000/'E Balans VL '!Z10*100)</f>
        <v>0.33768272149377049</v>
      </c>
      <c r="D29" s="237" t="s">
        <v>692</v>
      </c>
      <c r="F29" s="6"/>
    </row>
    <row r="30" spans="1:18">
      <c r="A30" s="231" t="s">
        <v>50</v>
      </c>
      <c r="B30" s="33">
        <f>IF(ISERROR(TER_ander_ele_kWh/1000),0,TER_ander_ele_kWh/1000)</f>
        <v>7187.33</v>
      </c>
      <c r="C30" s="39">
        <f>IF(ISERROR(B30*3.6/1000000/'E Balans VL '!Z14*100),0,B30*3.6/1000000/'E Balans VL '!Z14*100)</f>
        <v>0.54356548171433272</v>
      </c>
      <c r="D30" s="237" t="s">
        <v>692</v>
      </c>
      <c r="F30" s="6"/>
    </row>
    <row r="31" spans="1:18">
      <c r="A31" s="231" t="s">
        <v>55</v>
      </c>
      <c r="B31" s="33">
        <f>IF(ISERROR(TER_onderwijs_ele_kWh/1000),0,TER_onderwijs_ele_kWh/1000)</f>
        <v>1596.242</v>
      </c>
      <c r="C31" s="39">
        <f>IF(ISERROR(B31*3.6/1000000/'E Balans VL '!Z11*100),0,B31*3.6/1000000/'E Balans VL '!Z11*100)</f>
        <v>0.33134278403276402</v>
      </c>
      <c r="D31" s="237" t="s">
        <v>692</v>
      </c>
    </row>
    <row r="32" spans="1:18">
      <c r="A32" s="231" t="s">
        <v>260</v>
      </c>
      <c r="B32" s="33">
        <f>IF(ISERROR(TER_rest_ele_kWh/1000),0,TER_rest_ele_kWh/1000)</f>
        <v>4672.9409999999998</v>
      </c>
      <c r="C32" s="39">
        <f>IF(ISERROR(B32*3.6/1000000/'E Balans VL '!Z8*100),0,B32*3.6/1000000/'E Balans VL '!Z8*100)</f>
        <v>3.9366778926903531E-2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29486.438620000001</v>
      </c>
      <c r="C5" s="17">
        <f>IF(ISERROR('Eigen informatie GS &amp; warmtenet'!B59),0,'Eigen informatie GS &amp; warmtenet'!B59)</f>
        <v>0</v>
      </c>
      <c r="D5" s="30">
        <f>SUM(D6:D15)</f>
        <v>11051.73390876271</v>
      </c>
      <c r="E5" s="17">
        <f>SUM(E6:E15)</f>
        <v>1869.5421916858641</v>
      </c>
      <c r="F5" s="17">
        <f>SUM(F6:F15)</f>
        <v>8230.1952159213815</v>
      </c>
      <c r="G5" s="18"/>
      <c r="H5" s="17"/>
      <c r="I5" s="17"/>
      <c r="J5" s="17">
        <f>SUM(J6:J15)</f>
        <v>108.27090180052335</v>
      </c>
      <c r="K5" s="17"/>
      <c r="L5" s="17"/>
      <c r="M5" s="17"/>
      <c r="N5" s="17">
        <f>SUM(N6:N15)</f>
        <v>6236.1700741120621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736.21140000000003</v>
      </c>
      <c r="C8" s="33"/>
      <c r="D8" s="37">
        <f>IF( ISERROR(IND_metaal_Gas_kWH/1000),0,IND_metaal_Gas_kWH/1000)*0.902</f>
        <v>58.912362573244991</v>
      </c>
      <c r="E8" s="33">
        <f>C30*'E Balans VL '!I18/100/3.6*1000000</f>
        <v>18.42479465730187</v>
      </c>
      <c r="F8" s="33">
        <f>C30*'E Balans VL '!L18/100/3.6*1000000+C30*'E Balans VL '!N18/100/3.6*1000000</f>
        <v>230.73231486383818</v>
      </c>
      <c r="G8" s="34"/>
      <c r="H8" s="33"/>
      <c r="I8" s="33"/>
      <c r="J8" s="40">
        <f>C30*'E Balans VL '!D18/100/3.6*1000000+C30*'E Balans VL '!E18/100/3.6*1000000</f>
        <v>0</v>
      </c>
      <c r="K8" s="33"/>
      <c r="L8" s="33"/>
      <c r="M8" s="33"/>
      <c r="N8" s="33">
        <f>C30*'E Balans VL '!Y18/100/3.6*1000000</f>
        <v>18.495541003191676</v>
      </c>
      <c r="O8" s="33"/>
      <c r="P8" s="33"/>
      <c r="R8" s="32"/>
    </row>
    <row r="9" spans="1:18">
      <c r="A9" s="6" t="s">
        <v>33</v>
      </c>
      <c r="B9" s="37">
        <f t="shared" si="0"/>
        <v>2376.7040000000002</v>
      </c>
      <c r="C9" s="33"/>
      <c r="D9" s="37">
        <f>IF( ISERROR(IND_andere_gas_kWh/1000),0,IND_andere_gas_kWh/1000)*0.902</f>
        <v>815.68047149999916</v>
      </c>
      <c r="E9" s="33">
        <f>C31*'E Balans VL '!I19/100/3.6*1000000</f>
        <v>653.49611935330904</v>
      </c>
      <c r="F9" s="33">
        <f>C31*'E Balans VL '!L19/100/3.6*1000000+C31*'E Balans VL '!N19/100/3.6*1000000</f>
        <v>1873.2563281899268</v>
      </c>
      <c r="G9" s="34"/>
      <c r="H9" s="33"/>
      <c r="I9" s="33"/>
      <c r="J9" s="40">
        <f>C31*'E Balans VL '!D19/100/3.6*1000000+C31*'E Balans VL '!E19/100/3.6*1000000</f>
        <v>0</v>
      </c>
      <c r="K9" s="33"/>
      <c r="L9" s="33"/>
      <c r="M9" s="33"/>
      <c r="N9" s="33">
        <f>C31*'E Balans VL '!Y19/100/3.6*1000000</f>
        <v>769.40181928766447</v>
      </c>
      <c r="O9" s="33"/>
      <c r="P9" s="33"/>
      <c r="R9" s="32"/>
    </row>
    <row r="10" spans="1:18">
      <c r="A10" s="6" t="s">
        <v>41</v>
      </c>
      <c r="B10" s="37">
        <f t="shared" si="0"/>
        <v>394.86420000000004</v>
      </c>
      <c r="C10" s="33"/>
      <c r="D10" s="37">
        <f>IF( ISERROR(IND_voed_gas_kWh/1000),0,IND_voed_gas_kWh/1000)*0.902</f>
        <v>282.74718447507752</v>
      </c>
      <c r="E10" s="33">
        <f>C32*'E Balans VL '!I20/100/3.6*1000000</f>
        <v>4.0254229870709768</v>
      </c>
      <c r="F10" s="33">
        <f>C32*'E Balans VL '!L20/100/3.6*1000000+C32*'E Balans VL '!N20/100/3.6*1000000</f>
        <v>745.89600416282531</v>
      </c>
      <c r="G10" s="34"/>
      <c r="H10" s="33"/>
      <c r="I10" s="33"/>
      <c r="J10" s="40">
        <f>C32*'E Balans VL '!D20/100/3.6*1000000+C32*'E Balans VL '!E20/100/3.6*1000000</f>
        <v>9.4503923075118035</v>
      </c>
      <c r="K10" s="33"/>
      <c r="L10" s="33"/>
      <c r="M10" s="33"/>
      <c r="N10" s="33">
        <f>C32*'E Balans VL '!Y20/100/3.6*1000000</f>
        <v>208.13891617857948</v>
      </c>
      <c r="O10" s="33"/>
      <c r="P10" s="33"/>
      <c r="R10" s="32"/>
    </row>
    <row r="11" spans="1:18">
      <c r="A11" s="6" t="s">
        <v>40</v>
      </c>
      <c r="B11" s="37">
        <f t="shared" si="0"/>
        <v>14.304919999999999</v>
      </c>
      <c r="C11" s="33"/>
      <c r="D11" s="37">
        <f>IF( ISERROR(IND_textiel_gas_kWh/1000),0,IND_textiel_gas_kWh/1000)*0.902</f>
        <v>0</v>
      </c>
      <c r="E11" s="33">
        <f>C33*'E Balans VL '!I21/100/3.6*1000000</f>
        <v>3.7915036217234986E-2</v>
      </c>
      <c r="F11" s="33">
        <f>C33*'E Balans VL '!L21/100/3.6*1000000+C33*'E Balans VL '!N21/100/3.6*1000000</f>
        <v>0.63887248382378725</v>
      </c>
      <c r="G11" s="34"/>
      <c r="H11" s="33"/>
      <c r="I11" s="33"/>
      <c r="J11" s="40">
        <f>C33*'E Balans VL '!D21/100/3.6*1000000+C33*'E Balans VL '!E21/100/3.6*1000000</f>
        <v>0</v>
      </c>
      <c r="K11" s="33"/>
      <c r="L11" s="33"/>
      <c r="M11" s="33"/>
      <c r="N11" s="33">
        <f>C33*'E Balans VL '!Y21/100/3.6*1000000</f>
        <v>0.13481364524079431</v>
      </c>
      <c r="O11" s="33"/>
      <c r="P11" s="33"/>
      <c r="R11" s="32"/>
    </row>
    <row r="12" spans="1:18">
      <c r="A12" s="6" t="s">
        <v>37</v>
      </c>
      <c r="B12" s="37">
        <f t="shared" si="0"/>
        <v>598.0231</v>
      </c>
      <c r="C12" s="33"/>
      <c r="D12" s="37">
        <f>IF( ISERROR(IND_min_gas_kWh/1000),0,IND_min_gas_kWh/1000)*0.902</f>
        <v>0</v>
      </c>
      <c r="E12" s="33">
        <f>C34*'E Balans VL '!I22/100/3.6*1000000</f>
        <v>1.8111414523967908</v>
      </c>
      <c r="F12" s="33">
        <f>C34*'E Balans VL '!L22/100/3.6*1000000+C34*'E Balans VL '!N22/100/3.6*1000000</f>
        <v>18.688736017050694</v>
      </c>
      <c r="G12" s="34"/>
      <c r="H12" s="33"/>
      <c r="I12" s="33"/>
      <c r="J12" s="40">
        <f>C34*'E Balans VL '!D22/100/3.6*1000000+C34*'E Balans VL '!E22/100/3.6*1000000</f>
        <v>0.88673550301250015</v>
      </c>
      <c r="K12" s="33"/>
      <c r="L12" s="33"/>
      <c r="M12" s="33"/>
      <c r="N12" s="33">
        <f>C34*'E Balans VL '!Y22/100/3.6*1000000</f>
        <v>0</v>
      </c>
      <c r="O12" s="33"/>
      <c r="P12" s="33"/>
      <c r="R12" s="32"/>
    </row>
    <row r="13" spans="1:18">
      <c r="A13" s="6" t="s">
        <v>39</v>
      </c>
      <c r="B13" s="37">
        <f t="shared" si="0"/>
        <v>2022.8119999999999</v>
      </c>
      <c r="C13" s="33"/>
      <c r="D13" s="37">
        <f>IF( ISERROR(IND_papier_gas_kWh/1000),0,IND_papier_gas_kWh/1000)*0.902</f>
        <v>0</v>
      </c>
      <c r="E13" s="33">
        <f>C35*'E Balans VL '!I23/100/3.6*1000000</f>
        <v>4.1893801885222581</v>
      </c>
      <c r="F13" s="33">
        <f>C35*'E Balans VL '!L23/100/3.6*1000000+C35*'E Balans VL '!N23/100/3.6*1000000</f>
        <v>40.116698524254481</v>
      </c>
      <c r="G13" s="34"/>
      <c r="H13" s="33"/>
      <c r="I13" s="33"/>
      <c r="J13" s="40">
        <f>C35*'E Balans VL '!D23/100/3.6*1000000+C35*'E Balans VL '!E23/100/3.6*1000000</f>
        <v>0</v>
      </c>
      <c r="K13" s="33"/>
      <c r="L13" s="33"/>
      <c r="M13" s="33"/>
      <c r="N13" s="33">
        <f>C35*'E Balans VL '!Y23/100/3.6*1000000</f>
        <v>854.12805594312385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23343.519</v>
      </c>
      <c r="C15" s="33"/>
      <c r="D15" s="37">
        <f>IF( ISERROR(IND_rest_gas_kWh/1000),0,IND_rest_gas_kWh/1000)*0.902</f>
        <v>9894.3938902143873</v>
      </c>
      <c r="E15" s="33">
        <f>C37*'E Balans VL '!I15/100/3.6*1000000</f>
        <v>1187.5574180110459</v>
      </c>
      <c r="F15" s="33">
        <f>C37*'E Balans VL '!L15/100/3.6*1000000+C37*'E Balans VL '!N15/100/3.6*1000000</f>
        <v>5320.8662616796619</v>
      </c>
      <c r="G15" s="34"/>
      <c r="H15" s="33"/>
      <c r="I15" s="33"/>
      <c r="J15" s="40">
        <f>C37*'E Balans VL '!D15/100/3.6*1000000+C37*'E Balans VL '!E15/100/3.6*1000000</f>
        <v>97.93377398999904</v>
      </c>
      <c r="K15" s="33"/>
      <c r="L15" s="33"/>
      <c r="M15" s="33"/>
      <c r="N15" s="33">
        <f>C37*'E Balans VL '!Y15/100/3.6*1000000</f>
        <v>4385.8709280542616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29486.438620000001</v>
      </c>
      <c r="C18" s="21">
        <f>C5+C16</f>
        <v>0</v>
      </c>
      <c r="D18" s="21">
        <f>MAX((D5+D16),0)</f>
        <v>11051.73390876271</v>
      </c>
      <c r="E18" s="21">
        <f>MAX((E5+E16),0)</f>
        <v>1869.5421916858641</v>
      </c>
      <c r="F18" s="21">
        <f>MAX((F5+F16),0)</f>
        <v>8230.1952159213815</v>
      </c>
      <c r="G18" s="21"/>
      <c r="H18" s="21"/>
      <c r="I18" s="21"/>
      <c r="J18" s="21">
        <f>MAX((J5+J16),0)</f>
        <v>108.27090180052335</v>
      </c>
      <c r="K18" s="21"/>
      <c r="L18" s="21">
        <f>MAX((L5+L16),0)</f>
        <v>0</v>
      </c>
      <c r="M18" s="21"/>
      <c r="N18" s="21">
        <f>MAX((N5+N16),0)</f>
        <v>6236.1700741120621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0.20643564067725848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6087.0518478103577</v>
      </c>
      <c r="C22" s="23">
        <f ca="1">C18*C20</f>
        <v>0</v>
      </c>
      <c r="D22" s="23">
        <f>D18*D20</f>
        <v>2232.4502495700676</v>
      </c>
      <c r="E22" s="23">
        <f>E18*E20</f>
        <v>424.38607751269114</v>
      </c>
      <c r="F22" s="23">
        <f>F18*F20</f>
        <v>2197.4621226510089</v>
      </c>
      <c r="G22" s="23"/>
      <c r="H22" s="23"/>
      <c r="I22" s="23"/>
      <c r="J22" s="23">
        <f>J18*J20</f>
        <v>38.32789923738526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736.21140000000003</v>
      </c>
      <c r="C30" s="39">
        <f>IF(ISERROR(B30*3.6/1000000/'E Balans VL '!Z18*100),0,B30*3.6/1000000/'E Balans VL '!Z18*100)</f>
        <v>0.10304506148405472</v>
      </c>
      <c r="D30" s="237" t="s">
        <v>692</v>
      </c>
    </row>
    <row r="31" spans="1:18">
      <c r="A31" s="6" t="s">
        <v>33</v>
      </c>
      <c r="B31" s="37">
        <f>IF( ISERROR(IND_ander_ele_kWh/1000),0,IND_ander_ele_kWh/1000)</f>
        <v>2376.7040000000002</v>
      </c>
      <c r="C31" s="39">
        <f>IF(ISERROR(B31*3.6/1000000/'E Balans VL '!Z19*100),0,B31*3.6/1000000/'E Balans VL '!Z19*100)</f>
        <v>0.10402794852383357</v>
      </c>
      <c r="D31" s="237" t="s">
        <v>692</v>
      </c>
    </row>
    <row r="32" spans="1:18">
      <c r="A32" s="171" t="s">
        <v>41</v>
      </c>
      <c r="B32" s="37">
        <f>IF( ISERROR(IND_voed_ele_kWh/1000),0,IND_voed_ele_kWh/1000)</f>
        <v>394.86420000000004</v>
      </c>
      <c r="C32" s="39">
        <f>IF(ISERROR(B32*3.6/1000000/'E Balans VL '!Z20*100),0,B32*3.6/1000000/'E Balans VL '!Z20*100)</f>
        <v>9.7755263126712816E-2</v>
      </c>
      <c r="D32" s="237" t="s">
        <v>692</v>
      </c>
    </row>
    <row r="33" spans="1:5">
      <c r="A33" s="171" t="s">
        <v>40</v>
      </c>
      <c r="B33" s="37">
        <f>IF( ISERROR(IND_textiel_ele_kWh/1000),0,IND_textiel_ele_kWh/1000)</f>
        <v>14.304919999999999</v>
      </c>
      <c r="C33" s="39">
        <f>IF(ISERROR(B33*3.6/1000000/'E Balans VL '!Z21*100),0,B33*3.6/1000000/'E Balans VL '!Z21*100)</f>
        <v>1.6119125005126704E-3</v>
      </c>
      <c r="D33" s="237" t="s">
        <v>692</v>
      </c>
    </row>
    <row r="34" spans="1:5">
      <c r="A34" s="171" t="s">
        <v>37</v>
      </c>
      <c r="B34" s="37">
        <f>IF( ISERROR(IND_min_ele_kWh/1000),0,IND_min_ele_kWh/1000)</f>
        <v>598.0231</v>
      </c>
      <c r="C34" s="39">
        <f>IF(ISERROR(B34*3.6/1000000/'E Balans VL '!Z22*100),0,B34*3.6/1000000/'E Balans VL '!Z22*100)</f>
        <v>1.6969455774877889E-2</v>
      </c>
      <c r="D34" s="237" t="s">
        <v>692</v>
      </c>
    </row>
    <row r="35" spans="1:5">
      <c r="A35" s="171" t="s">
        <v>39</v>
      </c>
      <c r="B35" s="37">
        <f>IF( ISERROR(IND_papier_ele_kWh/1000),0,IND_papier_ele_kWh/1000)</f>
        <v>2022.8119999999999</v>
      </c>
      <c r="C35" s="39">
        <f>IF(ISERROR(B35*3.6/1000000/'E Balans VL '!Z22*100),0,B35*3.6/1000000/'E Balans VL '!Z22*100)</f>
        <v>5.7399151930573072E-2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23343.519</v>
      </c>
      <c r="C37" s="39">
        <f>IF(ISERROR(B37*3.6/1000000/'E Balans VL '!Z15*100),0,B37*3.6/1000000/'E Balans VL '!Z15*100)</f>
        <v>0.1730881968054262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2252.2302</v>
      </c>
      <c r="C5" s="17">
        <f>'Eigen informatie GS &amp; warmtenet'!B60</f>
        <v>0</v>
      </c>
      <c r="D5" s="30">
        <f>IF(ISERROR(SUM(LB_lb_gas_kWh,LB_rest_gas_kWh,onbekend_gas_kWh)/1000),0,SUM(LB_lb_gas_kWh,LB_rest_gas_kWh,onbekend_gas_kWh)/1000)*0.902</f>
        <v>5511.7070368390932</v>
      </c>
      <c r="E5" s="17">
        <f>B17*'E Balans VL '!I25/3.6*1000000/100</f>
        <v>20.861099433119612</v>
      </c>
      <c r="F5" s="17">
        <f>B17*('E Balans VL '!L25/3.6*1000000+'E Balans VL '!N25/3.6*1000000)/100</f>
        <v>5714.3370668128009</v>
      </c>
      <c r="G5" s="18"/>
      <c r="H5" s="17"/>
      <c r="I5" s="17"/>
      <c r="J5" s="17">
        <f>('E Balans VL '!D25+'E Balans VL '!E25)/3.6*1000000*landbouw!B17/100</f>
        <v>345.29202462239073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2252.2302</v>
      </c>
      <c r="C8" s="21">
        <f>C5+C6</f>
        <v>0</v>
      </c>
      <c r="D8" s="21">
        <f>MAX((D5+D6),0)</f>
        <v>5511.7070368390932</v>
      </c>
      <c r="E8" s="21">
        <f>MAX((E5+E6),0)</f>
        <v>20.861099433119612</v>
      </c>
      <c r="F8" s="21">
        <f>MAX((F5+F6),0)</f>
        <v>5714.3370668128009</v>
      </c>
      <c r="G8" s="21"/>
      <c r="H8" s="21"/>
      <c r="I8" s="21"/>
      <c r="J8" s="21">
        <f>MAX((J5+J6),0)</f>
        <v>345.29202462239073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0.20643564067725848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464.94058428966997</v>
      </c>
      <c r="C12" s="23">
        <f ca="1">C8*C10</f>
        <v>0</v>
      </c>
      <c r="D12" s="23">
        <f>D8*D10</f>
        <v>1113.3648214414968</v>
      </c>
      <c r="E12" s="23">
        <f>E8*E10</f>
        <v>4.735469571318152</v>
      </c>
      <c r="F12" s="23">
        <f>F8*F10</f>
        <v>1525.727996839018</v>
      </c>
      <c r="G12" s="23"/>
      <c r="H12" s="23"/>
      <c r="I12" s="23"/>
      <c r="J12" s="23">
        <f>J8*J10</f>
        <v>122.2333767163263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0.3202193789052602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74.651131237498234</v>
      </c>
      <c r="C26" s="247">
        <f>B26*'GWP N2O_CH4'!B5</f>
        <v>1567.673755987463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16.669744361687783</v>
      </c>
      <c r="C27" s="247">
        <f>B27*'GWP N2O_CH4'!B5</f>
        <v>350.06463159544347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1.6371674901273248</v>
      </c>
      <c r="C28" s="247">
        <f>B28*'GWP N2O_CH4'!B4</f>
        <v>507.5219219394707</v>
      </c>
      <c r="D28" s="50"/>
    </row>
    <row r="29" spans="1:4">
      <c r="A29" s="41" t="s">
        <v>277</v>
      </c>
      <c r="B29" s="247">
        <f>B34*'ha_N2O bodem landbouw'!B4</f>
        <v>10.134894122959338</v>
      </c>
      <c r="C29" s="247">
        <f>B29*'GWP N2O_CH4'!B4</f>
        <v>3141.8171781173946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2.2730782022044849E-3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1.6597566108404244E-4</v>
      </c>
      <c r="C5" s="464" t="s">
        <v>211</v>
      </c>
      <c r="D5" s="449">
        <f>SUM(D6:D11)</f>
        <v>4.3823866959729913E-4</v>
      </c>
      <c r="E5" s="449">
        <f>SUM(E6:E11)</f>
        <v>3.0969237544563348E-3</v>
      </c>
      <c r="F5" s="462" t="s">
        <v>211</v>
      </c>
      <c r="G5" s="449">
        <f>SUM(G6:G11)</f>
        <v>0.88017741591664134</v>
      </c>
      <c r="H5" s="449">
        <f>SUM(H6:H11)</f>
        <v>0.1688133403364756</v>
      </c>
      <c r="I5" s="464" t="s">
        <v>211</v>
      </c>
      <c r="J5" s="464" t="s">
        <v>211</v>
      </c>
      <c r="K5" s="464" t="s">
        <v>211</v>
      </c>
      <c r="L5" s="464" t="s">
        <v>211</v>
      </c>
      <c r="M5" s="449">
        <f>SUM(M6:M11)</f>
        <v>5.6110962669348521E-2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6.4191585591050378E-5</v>
      </c>
      <c r="C6" s="450"/>
      <c r="D6" s="963">
        <f>vkm_2011_GW_PW*SUMIFS(TableVerdeelsleutelVkm[CNG],TableVerdeelsleutelVkm[Voertuigtype],"Lichte voertuigen")*SUMIFS(TableECFTransport[EnergieConsumptieFactor (PJ per km)],TableECFTransport[Index],CONCATENATE($A6,"_CNG_CNG"))</f>
        <v>1.4848220467291647E-4</v>
      </c>
      <c r="E6" s="963">
        <f>vkm_2011_GW_PW*SUMIFS(TableVerdeelsleutelVkm[LPG],TableVerdeelsleutelVkm[Voertuigtype],"Lichte voertuigen")*SUMIFS(TableECFTransport[EnergieConsumptieFactor (PJ per km)],TableECFTransport[Index],CONCATENATE($A6,"_LPG_LPG"))</f>
        <v>9.6682645093823343E-4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0.2008510423393762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5.6615758124668146E-2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1.3361192253748662E-2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0.11399720557626393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3.8984974021390363E-5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6.5953845080719293E-3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2.5751150542839602E-5</v>
      </c>
      <c r="C8" s="450"/>
      <c r="D8" s="452">
        <f>vkm_2011_NGW_PW*SUMIFS(TableVerdeelsleutelVkm[CNG],TableVerdeelsleutelVkm[Voertuigtype],"Lichte voertuigen")*SUMIFS(TableECFTransport[EnergieConsumptieFactor (PJ per km)],TableECFTransport[Index],CONCATENATE($A8,"_CNG_CNG"))</f>
        <v>1.0535351310410825E-4</v>
      </c>
      <c r="E8" s="452">
        <f>vkm_2011_NGW_PW*SUMIFS(TableVerdeelsleutelVkm[LPG],TableVerdeelsleutelVkm[Voertuigtype],"Lichte voertuigen")*SUMIFS(TableECFTransport[EnergieConsumptieFactor (PJ per km)],TableECFTransport[Index],CONCATENATE($A8,"_LPG_LPG"))</f>
        <v>6.3310520514293131E-4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0.12294810076636044</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3.8842459257238837E-2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8.3077285687483717E-3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1.5738768595316137E-2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5.0928821814909814E-6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9.1056806255283634E-4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7.6032924950152474E-5</v>
      </c>
      <c r="C10" s="450"/>
      <c r="D10" s="452">
        <f>vkm_2011_SW_PW*SUMIFS(TableVerdeelsleutelVkm[CNG],TableVerdeelsleutelVkm[Voertuigtype],"Lichte voertuigen")*SUMIFS(TableECFTransport[EnergieConsumptieFactor (PJ per km)],TableECFTransport[Index],CONCATENATE($A10,"_CNG_CNG"))</f>
        <v>1.8440295182027441E-4</v>
      </c>
      <c r="E10" s="452">
        <f>vkm_2011_SW_PW*SUMIFS(TableVerdeelsleutelVkm[LPG],TableVerdeelsleutelVkm[Voertuigtype],"Lichte voertuigen")*SUMIFS(TableECFTransport[EnergieConsumptieFactor (PJ per km)],TableECFTransport[Index],CONCATENATE($A10,"_LPG_LPG"))</f>
        <v>1.4969920983751697E-3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0.27998050475918923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7.3256991095765861E-2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1.8450753171980055E-2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0.14666179388013537</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5.4054002599902276E-5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8.4853361042466682E-3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46.104350301122906</v>
      </c>
      <c r="C14" s="21"/>
      <c r="D14" s="21">
        <f t="shared" ref="D14:M14" si="0">((D5)*10^9/3600)+D12</f>
        <v>121.73296377702754</v>
      </c>
      <c r="E14" s="21">
        <f t="shared" si="0"/>
        <v>860.25659846009296</v>
      </c>
      <c r="F14" s="21"/>
      <c r="G14" s="21">
        <f t="shared" si="0"/>
        <v>244493.7266435115</v>
      </c>
      <c r="H14" s="21">
        <f t="shared" si="0"/>
        <v>46892.594537909892</v>
      </c>
      <c r="I14" s="21"/>
      <c r="J14" s="21"/>
      <c r="K14" s="21"/>
      <c r="L14" s="21"/>
      <c r="M14" s="21">
        <f t="shared" si="0"/>
        <v>15586.378519263479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0.20643564067725848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9.5175810924210626</v>
      </c>
      <c r="C18" s="23"/>
      <c r="D18" s="23">
        <f t="shared" ref="D18:M18" si="1">D14*D16</f>
        <v>24.590058682959565</v>
      </c>
      <c r="E18" s="23">
        <f t="shared" si="1"/>
        <v>195.27824785044112</v>
      </c>
      <c r="F18" s="23"/>
      <c r="G18" s="23">
        <f t="shared" si="1"/>
        <v>65279.825013817572</v>
      </c>
      <c r="H18" s="23">
        <f t="shared" si="1"/>
        <v>11676.256039939562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1.3588773315753077E-2</v>
      </c>
      <c r="H50" s="321">
        <f t="shared" si="2"/>
        <v>0</v>
      </c>
      <c r="I50" s="321">
        <f t="shared" si="2"/>
        <v>0</v>
      </c>
      <c r="J50" s="321">
        <f t="shared" si="2"/>
        <v>0</v>
      </c>
      <c r="K50" s="321">
        <f t="shared" si="2"/>
        <v>0</v>
      </c>
      <c r="L50" s="321">
        <f t="shared" si="2"/>
        <v>0</v>
      </c>
      <c r="M50" s="321">
        <f t="shared" si="2"/>
        <v>7.7492812878327585E-4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1.3588773315753077E-2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7.7492812878327585E-4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3774.6592543758543</v>
      </c>
      <c r="H54" s="21">
        <f t="shared" si="3"/>
        <v>0</v>
      </c>
      <c r="I54" s="21">
        <f t="shared" si="3"/>
        <v>0</v>
      </c>
      <c r="J54" s="21">
        <f t="shared" si="3"/>
        <v>0</v>
      </c>
      <c r="K54" s="21">
        <f t="shared" si="3"/>
        <v>0</v>
      </c>
      <c r="L54" s="21">
        <f t="shared" si="3"/>
        <v>0</v>
      </c>
      <c r="M54" s="21">
        <f t="shared" si="3"/>
        <v>215.25781355090996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0.20643564067725848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1007.8340209183532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27.120179372197306</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8254.003174659556</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8281.1233540317535</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40478.177999999993</v>
      </c>
      <c r="D10" s="719">
        <f ca="1">tertiair!C16</f>
        <v>0</v>
      </c>
      <c r="E10" s="719">
        <f ca="1">tertiair!D16</f>
        <v>42833.209203415565</v>
      </c>
      <c r="F10" s="719">
        <f>tertiair!E16</f>
        <v>390.66175898461154</v>
      </c>
      <c r="G10" s="719">
        <f ca="1">tertiair!F16</f>
        <v>6200.9973359934929</v>
      </c>
      <c r="H10" s="719">
        <f>tertiair!G16</f>
        <v>0</v>
      </c>
      <c r="I10" s="719">
        <f>tertiair!H16</f>
        <v>0</v>
      </c>
      <c r="J10" s="719">
        <f>tertiair!I16</f>
        <v>0</v>
      </c>
      <c r="K10" s="719">
        <f>tertiair!J16</f>
        <v>0</v>
      </c>
      <c r="L10" s="719">
        <f>tertiair!K16</f>
        <v>0</v>
      </c>
      <c r="M10" s="719">
        <f ca="1">tertiair!L16</f>
        <v>0</v>
      </c>
      <c r="N10" s="719">
        <f>tertiair!M16</f>
        <v>0</v>
      </c>
      <c r="O10" s="719">
        <f ca="1">tertiair!N16</f>
        <v>5646.2510518105119</v>
      </c>
      <c r="P10" s="719">
        <f>tertiair!O16</f>
        <v>3.1266666666666669</v>
      </c>
      <c r="Q10" s="720">
        <f>tertiair!P16</f>
        <v>76.266666666666666</v>
      </c>
      <c r="R10" s="722">
        <f ca="1">SUM(C10:Q10)</f>
        <v>95628.690683537512</v>
      </c>
      <c r="S10" s="67"/>
    </row>
    <row r="11" spans="1:19" s="475" customFormat="1">
      <c r="A11" s="871" t="s">
        <v>225</v>
      </c>
      <c r="B11" s="876"/>
      <c r="C11" s="719">
        <f>huishoudens!B8</f>
        <v>53395.048655572471</v>
      </c>
      <c r="D11" s="719">
        <f>huishoudens!C8</f>
        <v>0</v>
      </c>
      <c r="E11" s="719">
        <f>huishoudens!D8</f>
        <v>72942.715158689563</v>
      </c>
      <c r="F11" s="719">
        <f>huishoudens!E8</f>
        <v>7867.4934598925911</v>
      </c>
      <c r="G11" s="719">
        <f>huishoudens!F8</f>
        <v>103948.03522192633</v>
      </c>
      <c r="H11" s="719">
        <f>huishoudens!G8</f>
        <v>0</v>
      </c>
      <c r="I11" s="719">
        <f>huishoudens!H8</f>
        <v>0</v>
      </c>
      <c r="J11" s="719">
        <f>huishoudens!I8</f>
        <v>0</v>
      </c>
      <c r="K11" s="719">
        <f>huishoudens!J8</f>
        <v>0</v>
      </c>
      <c r="L11" s="719">
        <f>huishoudens!K8</f>
        <v>0</v>
      </c>
      <c r="M11" s="719">
        <f>huishoudens!L8</f>
        <v>0</v>
      </c>
      <c r="N11" s="719">
        <f>huishoudens!M8</f>
        <v>0</v>
      </c>
      <c r="O11" s="719">
        <f>huishoudens!N8</f>
        <v>13770.2706170569</v>
      </c>
      <c r="P11" s="719">
        <f>huishoudens!O8</f>
        <v>264.20333333333338</v>
      </c>
      <c r="Q11" s="720">
        <f>huishoudens!P8</f>
        <v>1296.5333333333333</v>
      </c>
      <c r="R11" s="722">
        <f>SUM(C11:Q11)</f>
        <v>253484.29977980454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29486.438620000001</v>
      </c>
      <c r="D13" s="719">
        <f>industrie!C18</f>
        <v>0</v>
      </c>
      <c r="E13" s="719">
        <f>industrie!D18</f>
        <v>11051.73390876271</v>
      </c>
      <c r="F13" s="719">
        <f>industrie!E18</f>
        <v>1869.5421916858641</v>
      </c>
      <c r="G13" s="719">
        <f>industrie!F18</f>
        <v>8230.1952159213815</v>
      </c>
      <c r="H13" s="719">
        <f>industrie!G18</f>
        <v>0</v>
      </c>
      <c r="I13" s="719">
        <f>industrie!H18</f>
        <v>0</v>
      </c>
      <c r="J13" s="719">
        <f>industrie!I18</f>
        <v>0</v>
      </c>
      <c r="K13" s="719">
        <f>industrie!J18</f>
        <v>108.27090180052335</v>
      </c>
      <c r="L13" s="719">
        <f>industrie!K18</f>
        <v>0</v>
      </c>
      <c r="M13" s="719">
        <f>industrie!L18</f>
        <v>0</v>
      </c>
      <c r="N13" s="719">
        <f>industrie!M18</f>
        <v>0</v>
      </c>
      <c r="O13" s="719">
        <f>industrie!N18</f>
        <v>6236.1700741120621</v>
      </c>
      <c r="P13" s="719">
        <f>industrie!O18</f>
        <v>0</v>
      </c>
      <c r="Q13" s="720">
        <f>industrie!P18</f>
        <v>0</v>
      </c>
      <c r="R13" s="722">
        <f>SUM(C13:Q13)</f>
        <v>56982.350912282549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123359.66527557246</v>
      </c>
      <c r="D15" s="724">
        <f t="shared" ref="D15:Q15" ca="1" si="0">SUM(D9:D14)</f>
        <v>0</v>
      </c>
      <c r="E15" s="724">
        <f t="shared" ca="1" si="0"/>
        <v>126827.65827086783</v>
      </c>
      <c r="F15" s="724">
        <f t="shared" si="0"/>
        <v>10127.697410563065</v>
      </c>
      <c r="G15" s="724">
        <f t="shared" ca="1" si="0"/>
        <v>118379.22777384121</v>
      </c>
      <c r="H15" s="724">
        <f t="shared" si="0"/>
        <v>0</v>
      </c>
      <c r="I15" s="724">
        <f t="shared" si="0"/>
        <v>0</v>
      </c>
      <c r="J15" s="724">
        <f t="shared" si="0"/>
        <v>0</v>
      </c>
      <c r="K15" s="724">
        <f t="shared" si="0"/>
        <v>108.27090180052335</v>
      </c>
      <c r="L15" s="724">
        <f t="shared" si="0"/>
        <v>0</v>
      </c>
      <c r="M15" s="724">
        <f t="shared" ca="1" si="0"/>
        <v>0</v>
      </c>
      <c r="N15" s="724">
        <f t="shared" si="0"/>
        <v>0</v>
      </c>
      <c r="O15" s="724">
        <f t="shared" ca="1" si="0"/>
        <v>25652.691742979474</v>
      </c>
      <c r="P15" s="724">
        <f t="shared" si="0"/>
        <v>267.33000000000004</v>
      </c>
      <c r="Q15" s="725">
        <f t="shared" si="0"/>
        <v>1372.8</v>
      </c>
      <c r="R15" s="726">
        <f ca="1">SUM(R9:R14)</f>
        <v>406095.34137562459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3774.6592543758543</v>
      </c>
      <c r="I18" s="719">
        <f>transport!H54</f>
        <v>0</v>
      </c>
      <c r="J18" s="719">
        <f>transport!I54</f>
        <v>0</v>
      </c>
      <c r="K18" s="719">
        <f>transport!J54</f>
        <v>0</v>
      </c>
      <c r="L18" s="719">
        <f>transport!K54</f>
        <v>0</v>
      </c>
      <c r="M18" s="719">
        <f>transport!L54</f>
        <v>0</v>
      </c>
      <c r="N18" s="719">
        <f>transport!M54</f>
        <v>215.25781355090996</v>
      </c>
      <c r="O18" s="719">
        <f>transport!N54</f>
        <v>0</v>
      </c>
      <c r="P18" s="719">
        <f>transport!O54</f>
        <v>0</v>
      </c>
      <c r="Q18" s="720">
        <f>transport!P54</f>
        <v>0</v>
      </c>
      <c r="R18" s="722">
        <f>SUM(C18:Q18)</f>
        <v>3989.917067926764</v>
      </c>
      <c r="S18" s="67"/>
    </row>
    <row r="19" spans="1:19" s="475" customFormat="1" ht="15" thickBot="1">
      <c r="A19" s="871" t="s">
        <v>307</v>
      </c>
      <c r="B19" s="876"/>
      <c r="C19" s="728">
        <f>transport!B14</f>
        <v>46.104350301122906</v>
      </c>
      <c r="D19" s="728">
        <f>transport!C14</f>
        <v>0</v>
      </c>
      <c r="E19" s="728">
        <f>transport!D14</f>
        <v>121.73296377702754</v>
      </c>
      <c r="F19" s="728">
        <f>transport!E14</f>
        <v>860.25659846009296</v>
      </c>
      <c r="G19" s="728">
        <f>transport!F14</f>
        <v>0</v>
      </c>
      <c r="H19" s="728">
        <f>transport!G14</f>
        <v>244493.7266435115</v>
      </c>
      <c r="I19" s="728">
        <f>transport!H14</f>
        <v>46892.594537909892</v>
      </c>
      <c r="J19" s="728">
        <f>transport!I14</f>
        <v>0</v>
      </c>
      <c r="K19" s="728">
        <f>transport!J14</f>
        <v>0</v>
      </c>
      <c r="L19" s="728">
        <f>transport!K14</f>
        <v>0</v>
      </c>
      <c r="M19" s="728">
        <f>transport!L14</f>
        <v>0</v>
      </c>
      <c r="N19" s="728">
        <f>transport!M14</f>
        <v>15586.378519263479</v>
      </c>
      <c r="O19" s="728">
        <f>transport!N14</f>
        <v>0</v>
      </c>
      <c r="P19" s="728">
        <f>transport!O14</f>
        <v>0</v>
      </c>
      <c r="Q19" s="729">
        <f>transport!P14</f>
        <v>0</v>
      </c>
      <c r="R19" s="730">
        <f>SUM(C19:Q19)</f>
        <v>308000.79361322313</v>
      </c>
      <c r="S19" s="67"/>
    </row>
    <row r="20" spans="1:19" s="475" customFormat="1" ht="15.75" thickBot="1">
      <c r="A20" s="731" t="s">
        <v>230</v>
      </c>
      <c r="B20" s="879"/>
      <c r="C20" s="874">
        <f>SUM(C17:C19)</f>
        <v>46.104350301122906</v>
      </c>
      <c r="D20" s="732">
        <f t="shared" ref="D20:R20" si="1">SUM(D17:D19)</f>
        <v>0</v>
      </c>
      <c r="E20" s="732">
        <f t="shared" si="1"/>
        <v>121.73296377702754</v>
      </c>
      <c r="F20" s="732">
        <f t="shared" si="1"/>
        <v>860.25659846009296</v>
      </c>
      <c r="G20" s="732">
        <f t="shared" si="1"/>
        <v>0</v>
      </c>
      <c r="H20" s="732">
        <f t="shared" si="1"/>
        <v>248268.38589788735</v>
      </c>
      <c r="I20" s="732">
        <f t="shared" si="1"/>
        <v>46892.594537909892</v>
      </c>
      <c r="J20" s="732">
        <f t="shared" si="1"/>
        <v>0</v>
      </c>
      <c r="K20" s="732">
        <f t="shared" si="1"/>
        <v>0</v>
      </c>
      <c r="L20" s="732">
        <f t="shared" si="1"/>
        <v>0</v>
      </c>
      <c r="M20" s="732">
        <f t="shared" si="1"/>
        <v>0</v>
      </c>
      <c r="N20" s="732">
        <f t="shared" si="1"/>
        <v>15801.636332814389</v>
      </c>
      <c r="O20" s="732">
        <f t="shared" si="1"/>
        <v>0</v>
      </c>
      <c r="P20" s="732">
        <f t="shared" si="1"/>
        <v>0</v>
      </c>
      <c r="Q20" s="733">
        <f t="shared" si="1"/>
        <v>0</v>
      </c>
      <c r="R20" s="734">
        <f t="shared" si="1"/>
        <v>311990.71068114991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2252.2302</v>
      </c>
      <c r="D22" s="728">
        <f>+landbouw!C8</f>
        <v>0</v>
      </c>
      <c r="E22" s="728">
        <f>+landbouw!D8</f>
        <v>5511.7070368390932</v>
      </c>
      <c r="F22" s="728">
        <f>+landbouw!E8</f>
        <v>20.861099433119612</v>
      </c>
      <c r="G22" s="728">
        <f>+landbouw!F8</f>
        <v>5714.3370668128009</v>
      </c>
      <c r="H22" s="728">
        <f>+landbouw!G8</f>
        <v>0</v>
      </c>
      <c r="I22" s="728">
        <f>+landbouw!H8</f>
        <v>0</v>
      </c>
      <c r="J22" s="728">
        <f>+landbouw!I8</f>
        <v>0</v>
      </c>
      <c r="K22" s="728">
        <f>+landbouw!J8</f>
        <v>345.29202462239073</v>
      </c>
      <c r="L22" s="728">
        <f>+landbouw!K8</f>
        <v>0</v>
      </c>
      <c r="M22" s="728">
        <f>+landbouw!L8</f>
        <v>0</v>
      </c>
      <c r="N22" s="728">
        <f>+landbouw!M8</f>
        <v>0</v>
      </c>
      <c r="O22" s="728">
        <f>+landbouw!N8</f>
        <v>0</v>
      </c>
      <c r="P22" s="728">
        <f>+landbouw!O8</f>
        <v>0</v>
      </c>
      <c r="Q22" s="729">
        <f>+landbouw!P8</f>
        <v>0</v>
      </c>
      <c r="R22" s="730">
        <f>SUM(C22:Q22)</f>
        <v>13844.427427707404</v>
      </c>
      <c r="S22" s="67"/>
    </row>
    <row r="23" spans="1:19" s="475" customFormat="1" ht="17.25" thickTop="1" thickBot="1">
      <c r="A23" s="735" t="s">
        <v>116</v>
      </c>
      <c r="B23" s="865"/>
      <c r="C23" s="736">
        <f ca="1">C20+C15+C22</f>
        <v>125657.99982587359</v>
      </c>
      <c r="D23" s="736">
        <f t="shared" ref="D23:Q23" ca="1" si="2">D20+D15+D22</f>
        <v>0</v>
      </c>
      <c r="E23" s="736">
        <f t="shared" ca="1" si="2"/>
        <v>132461.09827148396</v>
      </c>
      <c r="F23" s="736">
        <f t="shared" si="2"/>
        <v>11008.815108456278</v>
      </c>
      <c r="G23" s="736">
        <f t="shared" ca="1" si="2"/>
        <v>124093.56484065401</v>
      </c>
      <c r="H23" s="736">
        <f t="shared" si="2"/>
        <v>248268.38589788735</v>
      </c>
      <c r="I23" s="736">
        <f t="shared" si="2"/>
        <v>46892.594537909892</v>
      </c>
      <c r="J23" s="736">
        <f t="shared" si="2"/>
        <v>0</v>
      </c>
      <c r="K23" s="736">
        <f t="shared" si="2"/>
        <v>453.56292642291407</v>
      </c>
      <c r="L23" s="736">
        <f t="shared" si="2"/>
        <v>0</v>
      </c>
      <c r="M23" s="736">
        <f t="shared" ca="1" si="2"/>
        <v>0</v>
      </c>
      <c r="N23" s="736">
        <f t="shared" si="2"/>
        <v>15801.636332814389</v>
      </c>
      <c r="O23" s="736">
        <f t="shared" ca="1" si="2"/>
        <v>25652.691742979474</v>
      </c>
      <c r="P23" s="736">
        <f t="shared" si="2"/>
        <v>267.33000000000004</v>
      </c>
      <c r="Q23" s="737">
        <f t="shared" si="2"/>
        <v>1372.8</v>
      </c>
      <c r="R23" s="738">
        <f ca="1">R20+R15+R22</f>
        <v>731930.47948448185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8356.1386088781092</v>
      </c>
      <c r="D36" s="719">
        <f ca="1">tertiair!C20</f>
        <v>0</v>
      </c>
      <c r="E36" s="719">
        <f ca="1">tertiair!D20</f>
        <v>8652.3082590899448</v>
      </c>
      <c r="F36" s="719">
        <f>tertiair!E20</f>
        <v>88.680219289506823</v>
      </c>
      <c r="G36" s="719">
        <f ca="1">tertiair!F20</f>
        <v>1655.6662887102627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18752.793375967824</v>
      </c>
    </row>
    <row r="37" spans="1:18">
      <c r="A37" s="886" t="s">
        <v>225</v>
      </c>
      <c r="B37" s="893"/>
      <c r="C37" s="719">
        <f ca="1">huishoudens!B12</f>
        <v>11022.641078206492</v>
      </c>
      <c r="D37" s="719">
        <f ca="1">huishoudens!C12</f>
        <v>0</v>
      </c>
      <c r="E37" s="719">
        <f>huishoudens!D12</f>
        <v>14734.428462055293</v>
      </c>
      <c r="F37" s="719">
        <f>huishoudens!E12</f>
        <v>1785.9210153956183</v>
      </c>
      <c r="G37" s="719">
        <f>huishoudens!F12</f>
        <v>27754.125404254333</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55297.115959911738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6087.0518478103577</v>
      </c>
      <c r="D39" s="719">
        <f ca="1">industrie!C22</f>
        <v>0</v>
      </c>
      <c r="E39" s="719">
        <f>industrie!D22</f>
        <v>2232.4502495700676</v>
      </c>
      <c r="F39" s="719">
        <f>industrie!E22</f>
        <v>424.38607751269114</v>
      </c>
      <c r="G39" s="719">
        <f>industrie!F22</f>
        <v>2197.4621226510089</v>
      </c>
      <c r="H39" s="719">
        <f>industrie!G22</f>
        <v>0</v>
      </c>
      <c r="I39" s="719">
        <f>industrie!H22</f>
        <v>0</v>
      </c>
      <c r="J39" s="719">
        <f>industrie!I22</f>
        <v>0</v>
      </c>
      <c r="K39" s="719">
        <f>industrie!J22</f>
        <v>38.32789923738526</v>
      </c>
      <c r="L39" s="719">
        <f>industrie!K22</f>
        <v>0</v>
      </c>
      <c r="M39" s="719">
        <f>industrie!L22</f>
        <v>0</v>
      </c>
      <c r="N39" s="719">
        <f>industrie!M22</f>
        <v>0</v>
      </c>
      <c r="O39" s="719">
        <f>industrie!N22</f>
        <v>0</v>
      </c>
      <c r="P39" s="719">
        <f>industrie!O22</f>
        <v>0</v>
      </c>
      <c r="Q39" s="829">
        <f>industrie!P22</f>
        <v>0</v>
      </c>
      <c r="R39" s="919">
        <f ca="1">SUM(C39:Q39)</f>
        <v>10979.678196781511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25465.831534894958</v>
      </c>
      <c r="D41" s="764">
        <f t="shared" ref="D41:R41" ca="1" si="4">SUM(D35:D40)</f>
        <v>0</v>
      </c>
      <c r="E41" s="764">
        <f t="shared" ca="1" si="4"/>
        <v>25619.186970715306</v>
      </c>
      <c r="F41" s="764">
        <f t="shared" si="4"/>
        <v>2298.9873121978162</v>
      </c>
      <c r="G41" s="764">
        <f t="shared" ca="1" si="4"/>
        <v>31607.253815615604</v>
      </c>
      <c r="H41" s="764">
        <f t="shared" si="4"/>
        <v>0</v>
      </c>
      <c r="I41" s="764">
        <f t="shared" si="4"/>
        <v>0</v>
      </c>
      <c r="J41" s="764">
        <f t="shared" si="4"/>
        <v>0</v>
      </c>
      <c r="K41" s="764">
        <f t="shared" si="4"/>
        <v>38.32789923738526</v>
      </c>
      <c r="L41" s="764">
        <f t="shared" si="4"/>
        <v>0</v>
      </c>
      <c r="M41" s="764">
        <f t="shared" ca="1" si="4"/>
        <v>0</v>
      </c>
      <c r="N41" s="764">
        <f t="shared" si="4"/>
        <v>0</v>
      </c>
      <c r="O41" s="764">
        <f t="shared" ca="1" si="4"/>
        <v>0</v>
      </c>
      <c r="P41" s="764">
        <f t="shared" si="4"/>
        <v>0</v>
      </c>
      <c r="Q41" s="765">
        <f t="shared" si="4"/>
        <v>0</v>
      </c>
      <c r="R41" s="766">
        <f t="shared" ca="1" si="4"/>
        <v>85029.587532661069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1007.8340209183532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1007.8340209183532</v>
      </c>
    </row>
    <row r="45" spans="1:18" ht="15" thickBot="1">
      <c r="A45" s="889" t="s">
        <v>307</v>
      </c>
      <c r="B45" s="899"/>
      <c r="C45" s="728">
        <f ca="1">transport!B18</f>
        <v>9.5175810924210626</v>
      </c>
      <c r="D45" s="728">
        <f>transport!C18</f>
        <v>0</v>
      </c>
      <c r="E45" s="728">
        <f>transport!D18</f>
        <v>24.590058682959565</v>
      </c>
      <c r="F45" s="728">
        <f>transport!E18</f>
        <v>195.27824785044112</v>
      </c>
      <c r="G45" s="728">
        <f>transport!F18</f>
        <v>0</v>
      </c>
      <c r="H45" s="728">
        <f>transport!G18</f>
        <v>65279.825013817572</v>
      </c>
      <c r="I45" s="728">
        <f>transport!H18</f>
        <v>11676.256039939562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77185.466941382954</v>
      </c>
    </row>
    <row r="46" spans="1:18" ht="15.75" thickBot="1">
      <c r="A46" s="887" t="s">
        <v>230</v>
      </c>
      <c r="B46" s="900"/>
      <c r="C46" s="764">
        <f t="shared" ref="C46:R46" ca="1" si="5">SUM(C43:C45)</f>
        <v>9.5175810924210626</v>
      </c>
      <c r="D46" s="764">
        <f t="shared" ca="1" si="5"/>
        <v>0</v>
      </c>
      <c r="E46" s="764">
        <f t="shared" si="5"/>
        <v>24.590058682959565</v>
      </c>
      <c r="F46" s="764">
        <f t="shared" si="5"/>
        <v>195.27824785044112</v>
      </c>
      <c r="G46" s="764">
        <f t="shared" si="5"/>
        <v>0</v>
      </c>
      <c r="H46" s="764">
        <f t="shared" si="5"/>
        <v>66287.659034735931</v>
      </c>
      <c r="I46" s="764">
        <f t="shared" si="5"/>
        <v>11676.256039939562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78193.300962301306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464.94058428966997</v>
      </c>
      <c r="D48" s="719">
        <f ca="1">+landbouw!C12</f>
        <v>0</v>
      </c>
      <c r="E48" s="719">
        <f>+landbouw!D12</f>
        <v>1113.3648214414968</v>
      </c>
      <c r="F48" s="719">
        <f>+landbouw!E12</f>
        <v>4.735469571318152</v>
      </c>
      <c r="G48" s="719">
        <f>+landbouw!F12</f>
        <v>1525.727996839018</v>
      </c>
      <c r="H48" s="719">
        <f>+landbouw!G12</f>
        <v>0</v>
      </c>
      <c r="I48" s="719">
        <f>+landbouw!H12</f>
        <v>0</v>
      </c>
      <c r="J48" s="719">
        <f>+landbouw!I12</f>
        <v>0</v>
      </c>
      <c r="K48" s="719">
        <f>+landbouw!J12</f>
        <v>122.2333767163263</v>
      </c>
      <c r="L48" s="719">
        <f>+landbouw!K12</f>
        <v>0</v>
      </c>
      <c r="M48" s="719">
        <f>+landbouw!L12</f>
        <v>0</v>
      </c>
      <c r="N48" s="719">
        <f>+landbouw!M12</f>
        <v>0</v>
      </c>
      <c r="O48" s="719">
        <f>+landbouw!N12</f>
        <v>0</v>
      </c>
      <c r="P48" s="719">
        <f>+landbouw!O12</f>
        <v>0</v>
      </c>
      <c r="Q48" s="720">
        <f>+landbouw!P12</f>
        <v>0</v>
      </c>
      <c r="R48" s="762">
        <f ca="1">SUM(C48:Q48)</f>
        <v>3231.0022488578293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25940.289700277048</v>
      </c>
      <c r="D53" s="774">
        <f t="shared" ref="D53:Q53" ca="1" si="6">D41+D46+D48</f>
        <v>0</v>
      </c>
      <c r="E53" s="774">
        <f t="shared" ca="1" si="6"/>
        <v>26757.141850839762</v>
      </c>
      <c r="F53" s="774">
        <f t="shared" si="6"/>
        <v>2499.0010296195751</v>
      </c>
      <c r="G53" s="774">
        <f t="shared" ca="1" si="6"/>
        <v>33132.981812454622</v>
      </c>
      <c r="H53" s="774">
        <f t="shared" si="6"/>
        <v>66287.659034735931</v>
      </c>
      <c r="I53" s="774">
        <f t="shared" si="6"/>
        <v>11676.256039939562</v>
      </c>
      <c r="J53" s="774">
        <f t="shared" si="6"/>
        <v>0</v>
      </c>
      <c r="K53" s="774">
        <f t="shared" si="6"/>
        <v>160.56127595371157</v>
      </c>
      <c r="L53" s="774">
        <f t="shared" si="6"/>
        <v>0</v>
      </c>
      <c r="M53" s="774">
        <f t="shared" ca="1" si="6"/>
        <v>0</v>
      </c>
      <c r="N53" s="774">
        <f t="shared" si="6"/>
        <v>0</v>
      </c>
      <c r="O53" s="774">
        <f t="shared" ca="1" si="6"/>
        <v>0</v>
      </c>
      <c r="P53" s="774">
        <f>P41+P46+P48</f>
        <v>0</v>
      </c>
      <c r="Q53" s="775">
        <f t="shared" si="6"/>
        <v>0</v>
      </c>
      <c r="R53" s="776">
        <f ca="1">R41+R46+R48</f>
        <v>166453.8907438202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0.20643564067725848</v>
      </c>
      <c r="D55" s="837">
        <f t="shared" ca="1" si="7"/>
        <v>0</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27.120179372197306</v>
      </c>
      <c r="C65" s="796">
        <f>'lokale energieproductie'!B5</f>
        <v>27.120179372197306</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8254.003174659556</v>
      </c>
      <c r="C66" s="796">
        <f>'lokale energieproductie'!B6</f>
        <v>8254.003174659556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8281.1233540317535</v>
      </c>
      <c r="C69" s="804">
        <f>SUM(C64:C68)</f>
        <v>8281.1233540317535</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53395.048655572471</v>
      </c>
      <c r="C4" s="479">
        <f>huishoudens!C8</f>
        <v>0</v>
      </c>
      <c r="D4" s="479">
        <f>huishoudens!D8</f>
        <v>72942.715158689563</v>
      </c>
      <c r="E4" s="479">
        <f>huishoudens!E8</f>
        <v>7867.4934598925911</v>
      </c>
      <c r="F4" s="479">
        <f>huishoudens!F8</f>
        <v>103948.03522192633</v>
      </c>
      <c r="G4" s="479">
        <f>huishoudens!G8</f>
        <v>0</v>
      </c>
      <c r="H4" s="479">
        <f>huishoudens!H8</f>
        <v>0</v>
      </c>
      <c r="I4" s="479">
        <f>huishoudens!I8</f>
        <v>0</v>
      </c>
      <c r="J4" s="479">
        <f>huishoudens!J8</f>
        <v>0</v>
      </c>
      <c r="K4" s="479">
        <f>huishoudens!K8</f>
        <v>0</v>
      </c>
      <c r="L4" s="479">
        <f>huishoudens!L8</f>
        <v>0</v>
      </c>
      <c r="M4" s="479">
        <f>huishoudens!M8</f>
        <v>0</v>
      </c>
      <c r="N4" s="479">
        <f>huishoudens!N8</f>
        <v>13770.2706170569</v>
      </c>
      <c r="O4" s="479">
        <f>huishoudens!O8</f>
        <v>264.20333333333338</v>
      </c>
      <c r="P4" s="480">
        <f>huishoudens!P8</f>
        <v>1296.5333333333333</v>
      </c>
      <c r="Q4" s="481">
        <f>SUM(B4:P4)</f>
        <v>253484.29977980454</v>
      </c>
    </row>
    <row r="5" spans="1:17">
      <c r="A5" s="478" t="s">
        <v>156</v>
      </c>
      <c r="B5" s="479">
        <f ca="1">tertiair!B16</f>
        <v>38653.676999999996</v>
      </c>
      <c r="C5" s="479">
        <f ca="1">tertiair!C16</f>
        <v>0</v>
      </c>
      <c r="D5" s="479">
        <f ca="1">tertiair!D16</f>
        <v>42833.209203415565</v>
      </c>
      <c r="E5" s="479">
        <f>tertiair!E16</f>
        <v>390.66175898461154</v>
      </c>
      <c r="F5" s="479">
        <f ca="1">tertiair!F16</f>
        <v>6200.9973359934929</v>
      </c>
      <c r="G5" s="479">
        <f>tertiair!G16</f>
        <v>0</v>
      </c>
      <c r="H5" s="479">
        <f>tertiair!H16</f>
        <v>0</v>
      </c>
      <c r="I5" s="479">
        <f>tertiair!I16</f>
        <v>0</v>
      </c>
      <c r="J5" s="479">
        <f>tertiair!J16</f>
        <v>0</v>
      </c>
      <c r="K5" s="479">
        <f>tertiair!K16</f>
        <v>0</v>
      </c>
      <c r="L5" s="479">
        <f ca="1">tertiair!L16</f>
        <v>0</v>
      </c>
      <c r="M5" s="479">
        <f>tertiair!M16</f>
        <v>0</v>
      </c>
      <c r="N5" s="479">
        <f ca="1">tertiair!N16</f>
        <v>5646.2510518105119</v>
      </c>
      <c r="O5" s="479">
        <f>tertiair!O16</f>
        <v>3.1266666666666669</v>
      </c>
      <c r="P5" s="480">
        <f>tertiair!P16</f>
        <v>76.266666666666666</v>
      </c>
      <c r="Q5" s="478">
        <f t="shared" ref="Q5:Q13" ca="1" si="0">SUM(B5:P5)</f>
        <v>93804.189683537508</v>
      </c>
    </row>
    <row r="6" spans="1:17">
      <c r="A6" s="478" t="s">
        <v>194</v>
      </c>
      <c r="B6" s="479">
        <f>'openbare verlichting'!B8</f>
        <v>1824.501</v>
      </c>
      <c r="C6" s="479"/>
      <c r="D6" s="479"/>
      <c r="E6" s="479"/>
      <c r="F6" s="479"/>
      <c r="G6" s="479"/>
      <c r="H6" s="479"/>
      <c r="I6" s="479"/>
      <c r="J6" s="479"/>
      <c r="K6" s="479"/>
      <c r="L6" s="479"/>
      <c r="M6" s="479"/>
      <c r="N6" s="479"/>
      <c r="O6" s="479"/>
      <c r="P6" s="480"/>
      <c r="Q6" s="478">
        <f t="shared" si="0"/>
        <v>1824.501</v>
      </c>
    </row>
    <row r="7" spans="1:17">
      <c r="A7" s="478" t="s">
        <v>112</v>
      </c>
      <c r="B7" s="479">
        <f>landbouw!B8</f>
        <v>2252.2302</v>
      </c>
      <c r="C7" s="479">
        <f>landbouw!C8</f>
        <v>0</v>
      </c>
      <c r="D7" s="479">
        <f>landbouw!D8</f>
        <v>5511.7070368390932</v>
      </c>
      <c r="E7" s="479">
        <f>landbouw!E8</f>
        <v>20.861099433119612</v>
      </c>
      <c r="F7" s="479">
        <f>landbouw!F8</f>
        <v>5714.3370668128009</v>
      </c>
      <c r="G7" s="479">
        <f>landbouw!G8</f>
        <v>0</v>
      </c>
      <c r="H7" s="479">
        <f>landbouw!H8</f>
        <v>0</v>
      </c>
      <c r="I7" s="479">
        <f>landbouw!I8</f>
        <v>0</v>
      </c>
      <c r="J7" s="479">
        <f>landbouw!J8</f>
        <v>345.29202462239073</v>
      </c>
      <c r="K7" s="479">
        <f>landbouw!K8</f>
        <v>0</v>
      </c>
      <c r="L7" s="479">
        <f>landbouw!L8</f>
        <v>0</v>
      </c>
      <c r="M7" s="479">
        <f>landbouw!M8</f>
        <v>0</v>
      </c>
      <c r="N7" s="479">
        <f>landbouw!N8</f>
        <v>0</v>
      </c>
      <c r="O7" s="479">
        <f>landbouw!O8</f>
        <v>0</v>
      </c>
      <c r="P7" s="480">
        <f>landbouw!P8</f>
        <v>0</v>
      </c>
      <c r="Q7" s="478">
        <f t="shared" si="0"/>
        <v>13844.427427707404</v>
      </c>
    </row>
    <row r="8" spans="1:17">
      <c r="A8" s="478" t="s">
        <v>650</v>
      </c>
      <c r="B8" s="479">
        <f>industrie!B18</f>
        <v>29486.438620000001</v>
      </c>
      <c r="C8" s="479">
        <f>industrie!C18</f>
        <v>0</v>
      </c>
      <c r="D8" s="479">
        <f>industrie!D18</f>
        <v>11051.73390876271</v>
      </c>
      <c r="E8" s="479">
        <f>industrie!E18</f>
        <v>1869.5421916858641</v>
      </c>
      <c r="F8" s="479">
        <f>industrie!F18</f>
        <v>8230.1952159213815</v>
      </c>
      <c r="G8" s="479">
        <f>industrie!G18</f>
        <v>0</v>
      </c>
      <c r="H8" s="479">
        <f>industrie!H18</f>
        <v>0</v>
      </c>
      <c r="I8" s="479">
        <f>industrie!I18</f>
        <v>0</v>
      </c>
      <c r="J8" s="479">
        <f>industrie!J18</f>
        <v>108.27090180052335</v>
      </c>
      <c r="K8" s="479">
        <f>industrie!K18</f>
        <v>0</v>
      </c>
      <c r="L8" s="479">
        <f>industrie!L18</f>
        <v>0</v>
      </c>
      <c r="M8" s="479">
        <f>industrie!M18</f>
        <v>0</v>
      </c>
      <c r="N8" s="479">
        <f>industrie!N18</f>
        <v>6236.1700741120621</v>
      </c>
      <c r="O8" s="479">
        <f>industrie!O18</f>
        <v>0</v>
      </c>
      <c r="P8" s="480">
        <f>industrie!P18</f>
        <v>0</v>
      </c>
      <c r="Q8" s="478">
        <f t="shared" si="0"/>
        <v>56982.350912282549</v>
      </c>
    </row>
    <row r="9" spans="1:17" s="484" customFormat="1">
      <c r="A9" s="482" t="s">
        <v>571</v>
      </c>
      <c r="B9" s="483">
        <f>transport!B14</f>
        <v>46.104350301122906</v>
      </c>
      <c r="C9" s="483">
        <f>transport!C14</f>
        <v>0</v>
      </c>
      <c r="D9" s="483">
        <f>transport!D14</f>
        <v>121.73296377702754</v>
      </c>
      <c r="E9" s="483">
        <f>transport!E14</f>
        <v>860.25659846009296</v>
      </c>
      <c r="F9" s="483">
        <f>transport!F14</f>
        <v>0</v>
      </c>
      <c r="G9" s="483">
        <f>transport!G14</f>
        <v>244493.7266435115</v>
      </c>
      <c r="H9" s="483">
        <f>transport!H14</f>
        <v>46892.594537909892</v>
      </c>
      <c r="I9" s="483">
        <f>transport!I14</f>
        <v>0</v>
      </c>
      <c r="J9" s="483">
        <f>transport!J14</f>
        <v>0</v>
      </c>
      <c r="K9" s="483">
        <f>transport!K14</f>
        <v>0</v>
      </c>
      <c r="L9" s="483">
        <f>transport!L14</f>
        <v>0</v>
      </c>
      <c r="M9" s="483">
        <f>transport!M14</f>
        <v>15586.378519263479</v>
      </c>
      <c r="N9" s="483">
        <f>transport!N14</f>
        <v>0</v>
      </c>
      <c r="O9" s="483">
        <f>transport!O14</f>
        <v>0</v>
      </c>
      <c r="P9" s="483">
        <f>transport!P14</f>
        <v>0</v>
      </c>
      <c r="Q9" s="482">
        <f>SUM(B9:P9)</f>
        <v>308000.79361322313</v>
      </c>
    </row>
    <row r="10" spans="1:17">
      <c r="A10" s="478" t="s">
        <v>561</v>
      </c>
      <c r="B10" s="479">
        <f>transport!B54</f>
        <v>0</v>
      </c>
      <c r="C10" s="479">
        <f>transport!C54</f>
        <v>0</v>
      </c>
      <c r="D10" s="479">
        <f>transport!D54</f>
        <v>0</v>
      </c>
      <c r="E10" s="479">
        <f>transport!E54</f>
        <v>0</v>
      </c>
      <c r="F10" s="479">
        <f>transport!F54</f>
        <v>0</v>
      </c>
      <c r="G10" s="479">
        <f>transport!G54</f>
        <v>3774.6592543758543</v>
      </c>
      <c r="H10" s="479">
        <f>transport!H54</f>
        <v>0</v>
      </c>
      <c r="I10" s="479">
        <f>transport!I54</f>
        <v>0</v>
      </c>
      <c r="J10" s="479">
        <f>transport!J54</f>
        <v>0</v>
      </c>
      <c r="K10" s="479">
        <f>transport!K54</f>
        <v>0</v>
      </c>
      <c r="L10" s="479">
        <f>transport!L54</f>
        <v>0</v>
      </c>
      <c r="M10" s="479">
        <f>transport!M54</f>
        <v>215.25781355090996</v>
      </c>
      <c r="N10" s="479">
        <f>transport!N54</f>
        <v>0</v>
      </c>
      <c r="O10" s="479">
        <f>transport!O54</f>
        <v>0</v>
      </c>
      <c r="P10" s="480">
        <f>transport!P54</f>
        <v>0</v>
      </c>
      <c r="Q10" s="478">
        <f t="shared" si="0"/>
        <v>3989.917067926764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125657.99982587359</v>
      </c>
      <c r="C14" s="489">
        <f t="shared" ref="C14:Q14" ca="1" si="1">SUM(C4:C13)</f>
        <v>0</v>
      </c>
      <c r="D14" s="489">
        <f t="shared" ca="1" si="1"/>
        <v>132461.09827148396</v>
      </c>
      <c r="E14" s="489">
        <f t="shared" si="1"/>
        <v>11008.81510845628</v>
      </c>
      <c r="F14" s="489">
        <f t="shared" ca="1" si="1"/>
        <v>124093.56484065401</v>
      </c>
      <c r="G14" s="489">
        <f t="shared" si="1"/>
        <v>248268.38589788735</v>
      </c>
      <c r="H14" s="489">
        <f t="shared" si="1"/>
        <v>46892.594537909892</v>
      </c>
      <c r="I14" s="489">
        <f t="shared" si="1"/>
        <v>0</v>
      </c>
      <c r="J14" s="489">
        <f t="shared" si="1"/>
        <v>453.56292642291407</v>
      </c>
      <c r="K14" s="489">
        <f t="shared" si="1"/>
        <v>0</v>
      </c>
      <c r="L14" s="489">
        <f t="shared" ca="1" si="1"/>
        <v>0</v>
      </c>
      <c r="M14" s="489">
        <f t="shared" si="1"/>
        <v>15801.636332814389</v>
      </c>
      <c r="N14" s="489">
        <f t="shared" ca="1" si="1"/>
        <v>25652.691742979474</v>
      </c>
      <c r="O14" s="489">
        <f t="shared" si="1"/>
        <v>267.33000000000004</v>
      </c>
      <c r="P14" s="490">
        <f t="shared" si="1"/>
        <v>1372.8</v>
      </c>
      <c r="Q14" s="490">
        <f t="shared" ca="1" si="1"/>
        <v>731930.47948448185</v>
      </c>
    </row>
    <row r="16" spans="1:17">
      <c r="A16" s="492" t="s">
        <v>566</v>
      </c>
      <c r="B16" s="842">
        <f ca="1">huishoudens!B10</f>
        <v>0.20643564067725848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11022.641078206492</v>
      </c>
      <c r="C21" s="479">
        <f t="shared" ref="C21:C30" ca="1" si="3">C4*$C$16</f>
        <v>0</v>
      </c>
      <c r="D21" s="479">
        <f t="shared" ref="D21:D30" si="4">D4*$D$16</f>
        <v>14734.428462055293</v>
      </c>
      <c r="E21" s="479">
        <f t="shared" ref="E21:E30" si="5">E4*$E$16</f>
        <v>1785.9210153956183</v>
      </c>
      <c r="F21" s="479">
        <f t="shared" ref="F21:F30" si="6">F4*$F$16</f>
        <v>27754.125404254333</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55297.115959911738</v>
      </c>
    </row>
    <row r="22" spans="1:17">
      <c r="A22" s="478" t="s">
        <v>156</v>
      </c>
      <c r="B22" s="479">
        <f t="shared" ca="1" si="2"/>
        <v>7979.4965760268096</v>
      </c>
      <c r="C22" s="479">
        <f t="shared" ca="1" si="3"/>
        <v>0</v>
      </c>
      <c r="D22" s="479">
        <f t="shared" ca="1" si="4"/>
        <v>8652.3082590899448</v>
      </c>
      <c r="E22" s="479">
        <f t="shared" si="5"/>
        <v>88.680219289506823</v>
      </c>
      <c r="F22" s="479">
        <f t="shared" ca="1" si="6"/>
        <v>1655.6662887102627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18376.151343116522</v>
      </c>
    </row>
    <row r="23" spans="1:17">
      <c r="A23" s="478" t="s">
        <v>194</v>
      </c>
      <c r="B23" s="479">
        <f t="shared" ca="1" si="2"/>
        <v>376.64203285129878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376.64203285129878</v>
      </c>
    </row>
    <row r="24" spans="1:17">
      <c r="A24" s="478" t="s">
        <v>112</v>
      </c>
      <c r="B24" s="479">
        <f t="shared" ca="1" si="2"/>
        <v>464.94058428966997</v>
      </c>
      <c r="C24" s="479">
        <f t="shared" ca="1" si="3"/>
        <v>0</v>
      </c>
      <c r="D24" s="479">
        <f t="shared" si="4"/>
        <v>1113.3648214414968</v>
      </c>
      <c r="E24" s="479">
        <f t="shared" si="5"/>
        <v>4.735469571318152</v>
      </c>
      <c r="F24" s="479">
        <f t="shared" si="6"/>
        <v>1525.727996839018</v>
      </c>
      <c r="G24" s="479">
        <f t="shared" si="7"/>
        <v>0</v>
      </c>
      <c r="H24" s="479">
        <f t="shared" si="8"/>
        <v>0</v>
      </c>
      <c r="I24" s="479">
        <f t="shared" si="9"/>
        <v>0</v>
      </c>
      <c r="J24" s="479">
        <f t="shared" si="10"/>
        <v>122.2333767163263</v>
      </c>
      <c r="K24" s="479">
        <f t="shared" si="11"/>
        <v>0</v>
      </c>
      <c r="L24" s="479">
        <f t="shared" si="12"/>
        <v>0</v>
      </c>
      <c r="M24" s="479">
        <f t="shared" si="13"/>
        <v>0</v>
      </c>
      <c r="N24" s="479">
        <f t="shared" si="14"/>
        <v>0</v>
      </c>
      <c r="O24" s="479">
        <f t="shared" si="15"/>
        <v>0</v>
      </c>
      <c r="P24" s="480">
        <f t="shared" si="16"/>
        <v>0</v>
      </c>
      <c r="Q24" s="478">
        <f t="shared" ca="1" si="17"/>
        <v>3231.0022488578293</v>
      </c>
    </row>
    <row r="25" spans="1:17">
      <c r="A25" s="478" t="s">
        <v>650</v>
      </c>
      <c r="B25" s="479">
        <f t="shared" ca="1" si="2"/>
        <v>6087.0518478103577</v>
      </c>
      <c r="C25" s="479">
        <f t="shared" ca="1" si="3"/>
        <v>0</v>
      </c>
      <c r="D25" s="479">
        <f t="shared" si="4"/>
        <v>2232.4502495700676</v>
      </c>
      <c r="E25" s="479">
        <f t="shared" si="5"/>
        <v>424.38607751269114</v>
      </c>
      <c r="F25" s="479">
        <f t="shared" si="6"/>
        <v>2197.4621226510089</v>
      </c>
      <c r="G25" s="479">
        <f t="shared" si="7"/>
        <v>0</v>
      </c>
      <c r="H25" s="479">
        <f t="shared" si="8"/>
        <v>0</v>
      </c>
      <c r="I25" s="479">
        <f t="shared" si="9"/>
        <v>0</v>
      </c>
      <c r="J25" s="479">
        <f t="shared" si="10"/>
        <v>38.32789923738526</v>
      </c>
      <c r="K25" s="479">
        <f t="shared" si="11"/>
        <v>0</v>
      </c>
      <c r="L25" s="479">
        <f t="shared" si="12"/>
        <v>0</v>
      </c>
      <c r="M25" s="479">
        <f t="shared" si="13"/>
        <v>0</v>
      </c>
      <c r="N25" s="479">
        <f t="shared" si="14"/>
        <v>0</v>
      </c>
      <c r="O25" s="479">
        <f t="shared" si="15"/>
        <v>0</v>
      </c>
      <c r="P25" s="480">
        <f t="shared" si="16"/>
        <v>0</v>
      </c>
      <c r="Q25" s="478">
        <f t="shared" ca="1" si="17"/>
        <v>10979.678196781511</v>
      </c>
    </row>
    <row r="26" spans="1:17" s="484" customFormat="1">
      <c r="A26" s="482" t="s">
        <v>571</v>
      </c>
      <c r="B26" s="836">
        <f t="shared" ca="1" si="2"/>
        <v>9.5175810924210626</v>
      </c>
      <c r="C26" s="483">
        <f t="shared" ca="1" si="3"/>
        <v>0</v>
      </c>
      <c r="D26" s="483">
        <f t="shared" si="4"/>
        <v>24.590058682959565</v>
      </c>
      <c r="E26" s="483">
        <f t="shared" si="5"/>
        <v>195.27824785044112</v>
      </c>
      <c r="F26" s="483">
        <f t="shared" si="6"/>
        <v>0</v>
      </c>
      <c r="G26" s="483">
        <f t="shared" si="7"/>
        <v>65279.825013817572</v>
      </c>
      <c r="H26" s="483">
        <f t="shared" si="8"/>
        <v>11676.256039939562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77185.466941382954</v>
      </c>
    </row>
    <row r="27" spans="1:17">
      <c r="A27" s="478" t="s">
        <v>561</v>
      </c>
      <c r="B27" s="479">
        <f t="shared" ca="1" si="2"/>
        <v>0</v>
      </c>
      <c r="C27" s="479">
        <f t="shared" ca="1" si="3"/>
        <v>0</v>
      </c>
      <c r="D27" s="479">
        <f t="shared" si="4"/>
        <v>0</v>
      </c>
      <c r="E27" s="479">
        <f t="shared" si="5"/>
        <v>0</v>
      </c>
      <c r="F27" s="479">
        <f t="shared" si="6"/>
        <v>0</v>
      </c>
      <c r="G27" s="479">
        <f t="shared" si="7"/>
        <v>1007.8340209183532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1007.8340209183532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25940.289700277048</v>
      </c>
      <c r="C31" s="489">
        <f t="shared" ca="1" si="18"/>
        <v>0</v>
      </c>
      <c r="D31" s="489">
        <f t="shared" ca="1" si="18"/>
        <v>26757.141850839762</v>
      </c>
      <c r="E31" s="489">
        <f t="shared" si="18"/>
        <v>2499.0010296195755</v>
      </c>
      <c r="F31" s="489">
        <f t="shared" ca="1" si="18"/>
        <v>33132.981812454622</v>
      </c>
      <c r="G31" s="489">
        <f t="shared" si="18"/>
        <v>66287.659034735931</v>
      </c>
      <c r="H31" s="489">
        <f t="shared" si="18"/>
        <v>11676.256039939562</v>
      </c>
      <c r="I31" s="489">
        <f t="shared" si="18"/>
        <v>0</v>
      </c>
      <c r="J31" s="489">
        <f t="shared" si="18"/>
        <v>160.56127595371157</v>
      </c>
      <c r="K31" s="489">
        <f t="shared" si="18"/>
        <v>0</v>
      </c>
      <c r="L31" s="489">
        <f t="shared" ca="1" si="18"/>
        <v>0</v>
      </c>
      <c r="M31" s="489">
        <f t="shared" si="18"/>
        <v>0</v>
      </c>
      <c r="N31" s="489">
        <f t="shared" ca="1" si="18"/>
        <v>0</v>
      </c>
      <c r="O31" s="489">
        <f t="shared" si="18"/>
        <v>0</v>
      </c>
      <c r="P31" s="490">
        <f t="shared" si="18"/>
        <v>0</v>
      </c>
      <c r="Q31" s="490">
        <f t="shared" ca="1" si="18"/>
        <v>166453.89074382023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0.20643564067725848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0.20643564067725848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0.20643564067725848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2018-06-27T09:35:49Z</dcterms:modified>
</cp:coreProperties>
</file>