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<sst xmlns="http://schemas.openxmlformats.org/spreadsheetml/2006/main" count="1950" uniqueCount="834">
  <si>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</si>
  <si>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</si>
  <si>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</si>
  <si>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</si>
  <si>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</si>
  <si>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</si>
  <si>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</si>
  <si>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</si>
  <si>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</si>
  <si>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</si>
  <si>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</si>
  <si>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</si>
  <si>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</si>
  <si>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</si>
  <si>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</si>
  <si>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</si>
  <si>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</si>
  <si>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</si>
  <si>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</si>
  <si>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</si>
  <si>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</si>
  <si>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</si>
  <si>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</si>
  <si>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</si>
  <si>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</si>
  <si>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</si>
  <si>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</si>
  <si>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</si>
  <si>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</si>
  <si>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</si>
  <si>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</si>
  <si>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</si>
  <si>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</si>
  <si>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</si>
  <si>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</si>
  <si>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</si>
  <si>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</si>
  <si>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</si>
  <si>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</si>
  <si>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</si>
  <si>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</si>
  <si>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</si>
  <si>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</si>
  <si>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</si>
  <si>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</si>
  <si>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</si>
  <si>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</si>
  <si>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</si>
  <si>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</si>
  <si>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</si>
  <si>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</si>
  <si>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</si>
  <si>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</si>
  <si>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</si>
  <si>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</si>
  <si>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</si>
  <si>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</si>
  <si>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</si>
  <si>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</si>
  <si>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</si>
  <si>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</si>
  <si>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</si>
  <si>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</si>
  <si>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</si>
  <si>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</si>
  <si>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</si>
  <si>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</si>
  <si>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</si>
  <si>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</si>
  <si>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</si>
  <si>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</si>
  <si>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</si>
  <si>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</si>
  <si>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</si>
  <si>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</si>
  <si>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</si>
  <si>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</si>
  <si>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</si>
  <si>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</si>
  <si>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</si>
  <si>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</si>
  <si>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</si>
  <si>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</si>
  <si>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</si>
  <si>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</si>
  <si>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</si>
  <si>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</si>
  <si>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</si>
  <si>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</si>
  <si>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</si>
  <si>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</si>
  <si>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</si>
  <si>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</si>
  <si>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</si>
  <si>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</si>
  <si>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</si>
  <si>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</si>
  <si>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</si>
  <si>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</si>
  <si>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</si>
  <si>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</si>
  <si>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</si>
  <si>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</si>
  <si>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</si>
  <si>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</si>
  <si>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</si>
  <si>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</si>
  <si>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</si>
  <si>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</si>
  <si>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</si>
  <si>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</si>
  <si>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</si>
  <si>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</si>
  <si>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</si>
  <si>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</si>
  <si>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</si>
  <si>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</si>
  <si>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</si>
  <si>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</si>
  <si>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</si>
  <si>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</si>
  <si>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</si>
  <si>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</si>
  <si>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</si>
  <si>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</si>
  <si>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</si>
  <si>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</si>
  <si>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</si>
  <si>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</si>
  <si>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</si>
  <si>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</si>
  <si>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</si>
  <si>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</si>
  <si>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</si>
  <si>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</si>
  <si>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</si>
  <si>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</si>
  <si>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</si>
  <si>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</si>
  <si>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</si>
  <si>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</si>
  <si>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</si>
  <si>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</si>
  <si>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</si>
  <si>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</si>
  <si>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</si>
  <si>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</si>
  <si>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</si>
  <si>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</si>
  <si>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</si>
  <si>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</si>
  <si>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</si>
  <si>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</si>
  <si>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</si>
  <si>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</si>
  <si>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</si>
  <si>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</si>
  <si>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</si>
  <si>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</si>
  <si>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</si>
  <si>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</si>
  <si>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</si>
  <si>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</si>
  <si>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</si>
  <si>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</si>
  <si>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</si>
  <si>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</si>
  <si>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</si>
  <si>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</si>
  <si>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</si>
  <si>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</si>
  <si>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</si>
  <si>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</si>
  <si>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</si>
  <si>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</si>
  <si>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</si>
  <si>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</si>
  <si>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</si>
  <si>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</si>
  <si>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</si>
  <si>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</si>
  <si>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</si>
  <si>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</si>
  <si>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</si>
  <si>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</si>
  <si>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</si>
  <si>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</si>
  <si>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</si>
  <si>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</si>
  <si>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</si>
  <si>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</si>
  <si>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</si>
  <si>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</si>
  <si>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</si>
  <si>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</si>
  <si>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</si>
  <si>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</si>
  <si>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</si>
  <si>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</si>
  <si>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</si>
  <si>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</si>
  <si>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</si>
  <si>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</si>
  <si>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</si>
  <si>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</si>
  <si>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</si>
  <si>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</si>
  <si>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</si>
  <si>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</si>
  <si>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</si>
  <si>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</si>
  <si>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</si>
  <si>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</si>
  <si>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</si>
  <si>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</si>
  <si>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</si>
  <si>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</si>
  <si>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</si>
  <si>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</si>
  <si>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</si>
  <si>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</si>
  <si>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</si>
  <si>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</si>
  <si>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</si>
  <si>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</si>
  <si>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</si>
  <si>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</si>
  <si>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</si>
  <si>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</si>
  <si>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</si>
  <si>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</si>
  <si>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</si>
  <si>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</si>
  <si>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</si>
  <si>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</si>
  <si>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</si>
  <si>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</si>
  <si>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</si>
  <si>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</si>
  <si>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</si>
  <si>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</si>
  <si>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</si>
  <si>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</si>
  <si>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</si>
  <si>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</si>
  <si>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</si>
  <si>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</si>
  <si>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</si>
  <si>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</si>
  <si>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</si>
  <si>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</si>
  <si>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</si>
  <si>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</si>
  <si>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</si>
  <si>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</si>
  <si>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</si>
  <si>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</si>
  <si>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</si>
  <si>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</si>
  <si>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</si>
  <si>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</si>
  <si>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</si>
  <si>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</si>
  <si>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</si>
  <si>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</si>
  <si>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</si>
  <si>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</si>
  <si>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</si>
  <si>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</si>
  <si>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</si>
  <si>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</si>
  <si>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</si>
  <si>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</si>
  <si>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</si>
  <si>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</si>
  <si>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</si>
  <si>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</si>
  <si>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</si>
  <si>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</si>
  <si>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</si>
  <si>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</si>
  <si>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</si>
  <si>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</si>
  <si>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</si>
  <si>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</si>
  <si>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</si>
  <si>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</si>
  <si>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</si>
  <si>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</si>
  <si>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</si>
  <si>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</si>
  <si>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</si>
  <si>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</si>
  <si>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</si>
  <si>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</si>
  <si>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</si>
  <si>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</si>
  <si>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</si>
  <si>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</si>
  <si>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</si>
  <si>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</si>
  <si>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</si>
  <si>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</si>
  <si>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</si>
  <si>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</si>
  <si>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</si>
  <si>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</si>
  <si>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</si>
  <si>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</si>
  <si>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</si>
  <si>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</si>
  <si>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</si>
  <si>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</si>
  <si>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</si>
  <si>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</si>
  <si>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</si>
  <si>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</si>
  <si>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</si>
  <si>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</si>
  <si>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</si>
  <si>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</si>
  <si>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</si>
  <si>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</si>
  <si>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</si>
  <si>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</si>
  <si>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</si>
  <si>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</si>
  <si>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</si>
  <si>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</si>
  <si>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</si>
  <si>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</si>
  <si>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</si>
  <si>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</si>
  <si>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</si>
  <si>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</si>
  <si>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</si>
  <si>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</si>
  <si>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</si>
  <si>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</si>
  <si>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</si>
  <si>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</si>
  <si>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</si>
  <si>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</si>
  <si>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</si>
  <si>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</si>
  <si>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</si>
  <si>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</si>
  <si>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</si>
  <si>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</si>
  <si>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</si>
  <si>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</si>
  <si>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</si>
  <si>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</si>
  <si>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</si>
  <si>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</si>
  <si>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</si>
  <si>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</si>
  <si>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</si>
  <si>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</si>
  <si>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</si>
  <si>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</si>
  <si>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</si>
  <si>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</si>
  <si>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</si>
  <si>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</si>
  <si>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</si>
  <si>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</si>
  <si>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</si>
  <si>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</si>
  <si>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</si>
  <si>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</si>
  <si>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</si>
  <si>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</si>
  <si>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</si>
  <si>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</si>
  <si>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</si>
  <si>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</si>
  <si>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</si>
  <si>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</si>
  <si>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</si>
  <si>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</si>
  <si>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</si>
  <si>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</si>
  <si>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</si>
  <si>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</si>
  <si>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</si>
  <si>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</si>
  <si>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</si>
  <si>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</si>
  <si>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</si>
  <si>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</si>
  <si>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</si>
  <si>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</si>
  <si>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</si>
  <si>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</si>
  <si>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</si>
  <si>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</si>
  <si>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</si>
  <si>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</si>
  <si>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</si>
  <si>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</si>
  <si>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</si>
  <si>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</si>
  <si>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</si>
  <si>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</si>
  <si>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</si>
  <si>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</si>
  <si>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</si>
  <si>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</si>
  <si>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</si>
  <si>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</si>
  <si>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</si>
  <si>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</si>
  <si>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</si>
  <si>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</si>
  <si>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</si>
  <si>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</si>
  <si>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</si>
  <si>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</si>
  <si>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</si>
  <si>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</si>
  <si>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</si>
  <si>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</si>
  <si>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</si>
  <si>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</si>
  <si>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</si>
  <si>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</si>
  <si>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</si>
  <si>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</si>
  <si>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</si>
  <si>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</si>
  <si>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</si>
  <si>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</si>
  <si>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</si>
  <si>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</si>
  <si>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</si>
  <si>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</si>
  <si>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</si>
  <si>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</si>
  <si>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</si>
  <si>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</si>
  <si>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</si>
  <si>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</si>
  <si>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</si>
  <si>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</si>
  <si>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</si>
  <si>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</si>
  <si>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</si>
  <si>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</si>
  <si>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</si>
  <si>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</si>
  <si>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</si>
  <si>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</si>
  <si>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</si>
  <si>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</si>
  <si>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</si>
  <si>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</si>
  <si>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</si>
  <si>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</si>
  <si>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</si>
  <si>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</si>
  <si>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</si>
  <si>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</si>
  <si>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</si>
  <si>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</si>
  <si>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</si>
  <si>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</si>
  <si>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</si>
  <si>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</si>
  <si>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</si>
  <si>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</si>
  <si>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</si>
  <si>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</si>
  <si>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</si>
  <si>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</si>
  <si>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</si>
  <si>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</si>
  <si>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</si>
  <si>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</si>
  <si>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</si>
  <si>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</si>
  <si>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</si>
  <si>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</si>
  <si>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</si>
  <si>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</si>
  <si>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</si>
  <si>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</si>
  <si>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</si>
  <si>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</si>
  <si>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</si>
  <si>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</si>
  <si>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</si>
  <si>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</si>
  <si>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</si>
  <si>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</si>
  <si>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</si>
  <si>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</si>
  <si>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</si>
  <si>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</si>
  <si>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</si>
  <si>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</si>
  <si>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</si>
  <si>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</si>
  <si>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</si>
  <si>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</si>
  <si>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</si>
  <si>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</si>
  <si>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</si>
  <si>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</si>
  <si>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</si>
  <si>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</si>
  <si>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</si>
  <si>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</si>
  <si>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</si>
  <si>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</si>
  <si>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</si>
  <si>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</si>
  <si>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</si>
  <si>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</si>
  <si>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</si>
  <si>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</si>
  <si>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</si>
  <si>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</si>
  <si>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</si>
  <si>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</si>
  <si>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</si>
  <si>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</si>
  <si>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</si>
  <si>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</si>
  <si>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</si>
  <si>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</si>
  <si>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</si>
  <si>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</si>
  <si>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</si>
  <si>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</si>
  <si>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</si>
  <si>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</si>
  <si>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</si>
  <si>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</si>
  <si>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</si>
  <si>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</si>
  <si>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</si>
  <si>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</si>
  <si>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</si>
  <si>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</si>
  <si>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</si>
  <si>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</si>
  <si>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</si>
  <si>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</si>
  <si>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</si>
  <si>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</si>
  <si>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</si>
  <si>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</si>
  <si>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</si>
  <si>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</si>
  <si>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</si>
  <si>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</si>
  <si>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</si>
  <si>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</si>
  <si>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</si>
  <si>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</si>
  <si>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</si>
  <si>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</si>
  <si>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</si>
  <si>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</si>
  <si>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</si>
  <si>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</si>
  <si>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</si>
  <si>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</si>
  <si>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</si>
  <si>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</si>
  <si>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</si>
  <si>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</si>
  <si>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</si>
  <si>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</si>
  <si>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</si>
  <si>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</si>
  <si>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</si>
  <si>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</si>
  <si>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</si>
  <si>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</si>
  <si>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</si>
  <si>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</si>
  <si>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</si>
  <si>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</si>
  <si>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</si>
  <si>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</si>
  <si>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</si>
  <si>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</si>
  <si>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</si>
  <si>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</si>
  <si>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</si>
  <si>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</si>
  <si>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</si>
  <si>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</si>
  <si>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</si>
  <si>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</si>
  <si>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</si>
  <si>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</si>
  <si>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</si>
  <si>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</si>
  <si>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</si>
  <si>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</si>
  <si>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</si>
  <si>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</si>
  <si>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</si>
  <si>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</si>
  <si>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</si>
  <si>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</si>
  <si>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</si>
  <si>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</si>
  <si>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</si>
  <si>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</si>
  <si>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</si>
  <si>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</si>
  <si>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</si>
  <si>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</si>
  <si>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</si>
  <si>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</si>
  <si>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</si>
  <si>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</si>
  <si>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</si>
  <si>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</si>
  <si>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</si>
  <si>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</si>
  <si>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</si>
  <si>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</si>
  <si>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</si>
  <si>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</si>
  <si>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</si>
  <si>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</si>
  <si>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</si>
  <si>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</si>
  <si>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</si>
  <si>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</si>
  <si>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</si>
  <si>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</si>
  <si>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</si>
  <si>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</si>
  <si>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</si>
  <si>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</si>
  <si>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</si>
  <si>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</si>
  <si>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</si>
  <si>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</si>
  <si>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</si>
  <si>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</si>
  <si>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</si>
  <si>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</si>
  <si>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</si>
  <si>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</si>
  <si>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</si>
  <si>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</si>
  <si>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</si>
  <si>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</si>
  <si>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</si>
  <si>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</si>
  <si>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</si>
  <si>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</si>
  <si>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</si>
  <si>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</si>
  <si>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</si>
  <si>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</si>
  <si>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</si>
  <si>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</si>
  <si>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</si>
  <si>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</si>
  <si>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</si>
  <si>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</si>
  <si>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</si>
  <si>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</si>
  <si>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</si>
  <si>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</si>
  <si>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</si>
  <si>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</si>
  <si>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</si>
  <si>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</si>
  <si>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</si>
  <si>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</si>
  <si>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</si>
  <si>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</si>
  <si>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</si>
  <si>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</si>
  <si>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</si>
  <si>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</si>
  <si>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</si>
  <si>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</si>
  <si>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</si>
  <si>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</si>
  <si>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</si>
  <si>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</si>
  <si>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</si>
  <si>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</si>
  <si>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</si>
  <si>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</si>
  <si>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</si>
  <si>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</si>
  <si>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</si>
  <si>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</si>
  <si>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</si>
  <si>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</si>
  <si>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</si>
  <si>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</si>
  <si>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</si>
  <si>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</si>
  <si>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</si>
  <si>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</si>
  <si>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</si>
  <si>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</si>
  <si>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</si>
  <si>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</si>
  <si>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</si>
  <si>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</si>
  <si>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</si>
  <si>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</si>
  <si>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</si>
  <si>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</si>
  <si>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</si>
  <si>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</si>
  <si>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</si>
  <si>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</si>
  <si>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</si>
  <si>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</si>
  <si>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</si>
  <si>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</si>
  <si>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</si>
  <si>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</si>
  <si>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</si>
  <si>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</si>
  <si>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</si>
  <si>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</si>
  <si>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</si>
  <si>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</si>
  <si>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</si>
  <si>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</si>
  <si>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</si>
  <si>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</si>
  <si>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</si>
  <si>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</si>
  <si>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</si>
  <si>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</si>
  <si>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</si>
  <si>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</si>
  <si>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</si>
  <si>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</si>
  <si>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</si>
  <si>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</si>
  <si>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</si>
  <si>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</si>
  <si>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</si>
  <si>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</si>
  <si>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</si>
  <si>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</si>
  <si>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</si>
  <si>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</si>
  <si>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</si>
  <si>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</si>
  <si>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</si>
  <si>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</si>
  <si>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</si>
  <si>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</si>
  <si>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</si>
  <si>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</si>
  <si>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</si>
  <si>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</si>
  <si>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</si>
  <si>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</si>
  <si>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</si>
  <si>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</si>
  <si>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</si>
  <si>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</si>
  <si>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</si>
  <si>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</si>
  <si>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</si>
  <si>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</si>
  <si>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</si>
  <si>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</si>
  <si>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</si>
  <si>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</si>
  <si>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</si>
  <si>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</si>
  <si>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</si>
  <si>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</si>
  <si>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</si>
  <si>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</si>
  <si>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</si>
  <si>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</si>
  <si>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</si>
  <si>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</si>
  <si>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</si>
  <si>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</si>
  <si>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</si>
  <si>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</si>
  <si>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</si>
  <si>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</si>
  <si>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</si>
  <si>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</si>
  <si>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</si>
  <si>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</si>
  <si>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</si>
  <si>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</si>
  <si>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</si>
  <si>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</si>
  <si>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</si>
  <si>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</si>
  <si>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</si>
  <si>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</si>
  <si>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</si>
  <si>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</si>
  <si>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</si>
  <si>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</si>
  <si>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</si>
  <si>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</si>
  <si>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</si>
  <si>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</si>
  <si>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</si>
  <si>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</si>
  <si>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</si>
  <si>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</si>
  <si>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</si>
  <si>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</si>
  <si>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</si>
  <si>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</si>
  <si>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</si>
  <si>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</si>
  <si>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</si>
  <si>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23103</t>
  </si>
  <si>
    <t>WEZEMBEEK-OPPEM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</si>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</sst>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109949.78314056236</c:v>
                </c:pt>
                <c:pt idx="1">
                  <c:v>25627.455763676815</c:v>
                </c:pt>
                <c:pt idx="2">
                  <c:v>980.81200000000001</c:v>
                </c:pt>
                <c:pt idx="3">
                  <c:v>2669.0026293741421</c:v>
                </c:pt>
                <c:pt idx="4">
                  <c:v>1555.5881718598287</c:v>
                </c:pt>
                <c:pt idx="5">
                  <c:v>96568.923575310735</c:v>
                </c:pt>
                <c:pt idx="6">
                  <c:v>603.63680583295866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109949.78314056236</c:v>
                </c:pt>
                <c:pt idx="1">
                  <c:v>25627.455763676815</c:v>
                </c:pt>
                <c:pt idx="2">
                  <c:v>980.81200000000001</c:v>
                </c:pt>
                <c:pt idx="3">
                  <c:v>2669.0026293741421</c:v>
                </c:pt>
                <c:pt idx="4">
                  <c:v>1555.5881718598287</c:v>
                </c:pt>
                <c:pt idx="5">
                  <c:v>96568.923575310735</c:v>
                </c:pt>
                <c:pt idx="6">
                  <c:v>603.63680583295866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22540.092679376659</c:v>
                </c:pt>
                <c:pt idx="1">
                  <c:v>5216.4962994642237</c:v>
                </c:pt>
                <c:pt idx="2">
                  <c:v>211.98978867707262</c:v>
                </c:pt>
                <c:pt idx="3">
                  <c:v>549.55303749042446</c:v>
                </c:pt>
                <c:pt idx="4">
                  <c:v>317.43460184325278</c:v>
                </c:pt>
                <c:pt idx="5">
                  <c:v>24197.838169034374</c:v>
                </c:pt>
                <c:pt idx="6">
                  <c:v>152.4757780274015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22540.092679376659</c:v>
                </c:pt>
                <c:pt idx="1">
                  <c:v>5216.4962994642237</c:v>
                </c:pt>
                <c:pt idx="2">
                  <c:v>211.98978867707262</c:v>
                </c:pt>
                <c:pt idx="3">
                  <c:v>549.55303749042446</c:v>
                </c:pt>
                <c:pt idx="4">
                  <c:v>317.43460184325278</c:v>
                </c:pt>
                <c:pt idx="5">
                  <c:v>24197.838169034374</c:v>
                </c:pt>
                <c:pt idx="6">
                  <c:v>152.4757780274015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23103</v>
      </c>
      <c r="B6" s="416"/>
      <c r="C6" s="417"/>
    </row>
    <row r="7" spans="1:7" s="414" customFormat="1" ht="15.75" customHeight="1">
      <c r="A7" s="418" t="str">
        <f>txtMunicipality</f>
        <v>WEZEMBEEK-OPPEM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9098.8468599999997</v>
      </c>
      <c r="D10" s="719">
        <f ca="1">tertiair!C16</f>
        <v>0</v>
      </c>
      <c r="E10" s="719">
        <f ca="1">tertiair!D16</f>
        <v>15538.158065322026</v>
      </c>
      <c r="F10" s="719">
        <f>tertiair!E16</f>
        <v>66.963549328564511</v>
      </c>
      <c r="G10" s="719">
        <f ca="1">tertiair!F16</f>
        <v>1153.4821480524909</v>
      </c>
      <c r="H10" s="719">
        <f>tertiair!G16</f>
        <v>0</v>
      </c>
      <c r="I10" s="719">
        <f>tertiair!H16</f>
        <v>0</v>
      </c>
      <c r="J10" s="719">
        <f>tertiair!I16</f>
        <v>0</v>
      </c>
      <c r="K10" s="719">
        <f>tertiair!J16</f>
        <v>0</v>
      </c>
      <c r="L10" s="719">
        <f>tertiair!K16</f>
        <v>0</v>
      </c>
      <c r="M10" s="719">
        <f ca="1">tertiair!L16</f>
        <v>0</v>
      </c>
      <c r="N10" s="719">
        <f>tertiair!M16</f>
        <v>0</v>
      </c>
      <c r="O10" s="719">
        <f ca="1">tertiair!N16</f>
        <v>750.81714097373469</v>
      </c>
      <c r="P10" s="719">
        <f>tertiair!O16</f>
        <v>0</v>
      </c>
      <c r="Q10" s="720">
        <f>tertiair!P16</f>
        <v>0</v>
      </c>
      <c r="R10" s="722">
        <f ca="1">SUM(C10:Q10)</f>
        <v>26608.267763676817</v>
      </c>
      <c r="S10" s="67"/>
    </row>
    <row r="11" spans="1:19" s="475" customFormat="1">
      <c r="A11" s="871" t="s">
        <v>225</v>
      </c>
      <c r="B11" s="876"/>
      <c r="C11" s="719">
        <f>huishoudens!B8</f>
        <v>22010.716893925346</v>
      </c>
      <c r="D11" s="719">
        <f>huishoudens!C8</f>
        <v>0</v>
      </c>
      <c r="E11" s="719">
        <f>huishoudens!D8</f>
        <v>76931.675291078413</v>
      </c>
      <c r="F11" s="719">
        <f>huishoudens!E8</f>
        <v>1389.7645365840642</v>
      </c>
      <c r="G11" s="719">
        <f>huishoudens!F8</f>
        <v>7217.5536805998072</v>
      </c>
      <c r="H11" s="719">
        <f>huishoudens!G8</f>
        <v>0</v>
      </c>
      <c r="I11" s="719">
        <f>huishoudens!H8</f>
        <v>0</v>
      </c>
      <c r="J11" s="719">
        <f>huishoudens!I8</f>
        <v>0</v>
      </c>
      <c r="K11" s="719">
        <f>huishoudens!J8</f>
        <v>0</v>
      </c>
      <c r="L11" s="719">
        <f>huishoudens!K8</f>
        <v>0</v>
      </c>
      <c r="M11" s="719">
        <f>huishoudens!L8</f>
        <v>0</v>
      </c>
      <c r="N11" s="719">
        <f>huishoudens!M8</f>
        <v>0</v>
      </c>
      <c r="O11" s="719">
        <f>huishoudens!N8</f>
        <v>2147.1794050413873</v>
      </c>
      <c r="P11" s="719">
        <f>huishoudens!O8</f>
        <v>81.293333333333337</v>
      </c>
      <c r="Q11" s="720">
        <f>huishoudens!P8</f>
        <v>171.6</v>
      </c>
      <c r="R11" s="722">
        <f>SUM(C11:Q11)</f>
        <v>109949.78314056236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356.92433</v>
      </c>
      <c r="D13" s="719">
        <f>industrie!C18</f>
        <v>0</v>
      </c>
      <c r="E13" s="719">
        <f>industrie!D18</f>
        <v>826.33650455775773</v>
      </c>
      <c r="F13" s="719">
        <f>industrie!E18</f>
        <v>48.788236890338489</v>
      </c>
      <c r="G13" s="719">
        <f>industrie!F18</f>
        <v>231.51569008231834</v>
      </c>
      <c r="H13" s="719">
        <f>industrie!G18</f>
        <v>0</v>
      </c>
      <c r="I13" s="719">
        <f>industrie!H18</f>
        <v>0</v>
      </c>
      <c r="J13" s="719">
        <f>industrie!I18</f>
        <v>0</v>
      </c>
      <c r="K13" s="719">
        <f>industrie!J18</f>
        <v>1.3571913220826679</v>
      </c>
      <c r="L13" s="719">
        <f>industrie!K18</f>
        <v>0</v>
      </c>
      <c r="M13" s="719">
        <f>industrie!L18</f>
        <v>0</v>
      </c>
      <c r="N13" s="719">
        <f>industrie!M18</f>
        <v>0</v>
      </c>
      <c r="O13" s="719">
        <f>industrie!N18</f>
        <v>90.666219007331449</v>
      </c>
      <c r="P13" s="719">
        <f>industrie!O18</f>
        <v>0</v>
      </c>
      <c r="Q13" s="720">
        <f>industrie!P18</f>
        <v>0</v>
      </c>
      <c r="R13" s="722">
        <f>SUM(C13:Q13)</f>
        <v>1555.5881718598287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31466.488083925346</v>
      </c>
      <c r="D15" s="724">
        <f t="shared" ref="D15:Q15" ca="1" si="0">SUM(D9:D14)</f>
        <v>0</v>
      </c>
      <c r="E15" s="724">
        <f t="shared" ca="1" si="0"/>
        <v>93296.169860958194</v>
      </c>
      <c r="F15" s="724">
        <f t="shared" si="0"/>
        <v>1505.5163228029674</v>
      </c>
      <c r="G15" s="724">
        <f t="shared" ca="1" si="0"/>
        <v>8602.5515187346173</v>
      </c>
      <c r="H15" s="724">
        <f t="shared" si="0"/>
        <v>0</v>
      </c>
      <c r="I15" s="724">
        <f t="shared" si="0"/>
        <v>0</v>
      </c>
      <c r="J15" s="724">
        <f t="shared" si="0"/>
        <v>0</v>
      </c>
      <c r="K15" s="724">
        <f t="shared" si="0"/>
        <v>1.3571913220826679</v>
      </c>
      <c r="L15" s="724">
        <f t="shared" si="0"/>
        <v>0</v>
      </c>
      <c r="M15" s="724">
        <f t="shared" ca="1" si="0"/>
        <v>0</v>
      </c>
      <c r="N15" s="724">
        <f t="shared" si="0"/>
        <v>0</v>
      </c>
      <c r="O15" s="724">
        <f t="shared" ca="1" si="0"/>
        <v>2988.6627650224536</v>
      </c>
      <c r="P15" s="724">
        <f t="shared" si="0"/>
        <v>81.293333333333337</v>
      </c>
      <c r="Q15" s="725">
        <f t="shared" si="0"/>
        <v>171.6</v>
      </c>
      <c r="R15" s="726">
        <f ca="1">SUM(R9:R14)</f>
        <v>138113.639076099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571.07032969064232</v>
      </c>
      <c r="I18" s="719">
        <f>transport!H54</f>
        <v>0</v>
      </c>
      <c r="J18" s="719">
        <f>transport!I54</f>
        <v>0</v>
      </c>
      <c r="K18" s="719">
        <f>transport!J54</f>
        <v>0</v>
      </c>
      <c r="L18" s="719">
        <f>transport!K54</f>
        <v>0</v>
      </c>
      <c r="M18" s="719">
        <f>transport!L54</f>
        <v>0</v>
      </c>
      <c r="N18" s="719">
        <f>transport!M54</f>
        <v>32.566476142316368</v>
      </c>
      <c r="O18" s="719">
        <f>transport!N54</f>
        <v>0</v>
      </c>
      <c r="P18" s="719">
        <f>transport!O54</f>
        <v>0</v>
      </c>
      <c r="Q18" s="720">
        <f>transport!P54</f>
        <v>0</v>
      </c>
      <c r="R18" s="722">
        <f>SUM(C18:Q18)</f>
        <v>603.63680583295866</v>
      </c>
      <c r="S18" s="67"/>
    </row>
    <row r="19" spans="1:19" s="475" customFormat="1" ht="15" thickBot="1">
      <c r="A19" s="871" t="s">
        <v>307</v>
      </c>
      <c r="B19" s="876"/>
      <c r="C19" s="728">
        <f>transport!B14</f>
        <v>14.510059528741547</v>
      </c>
      <c r="D19" s="728">
        <f>transport!C14</f>
        <v>0</v>
      </c>
      <c r="E19" s="728">
        <f>transport!D14</f>
        <v>38.296138179070979</v>
      </c>
      <c r="F19" s="728">
        <f>transport!E14</f>
        <v>284.99826655398863</v>
      </c>
      <c r="G19" s="728">
        <f>transport!F14</f>
        <v>0</v>
      </c>
      <c r="H19" s="728">
        <f>transport!G14</f>
        <v>76448.584213107097</v>
      </c>
      <c r="I19" s="728">
        <f>transport!H14</f>
        <v>14901.604805631454</v>
      </c>
      <c r="J19" s="728">
        <f>transport!I14</f>
        <v>0</v>
      </c>
      <c r="K19" s="728">
        <f>transport!J14</f>
        <v>0</v>
      </c>
      <c r="L19" s="728">
        <f>transport!K14</f>
        <v>0</v>
      </c>
      <c r="M19" s="728">
        <f>transport!L14</f>
        <v>0</v>
      </c>
      <c r="N19" s="728">
        <f>transport!M14</f>
        <v>4880.9300923103847</v>
      </c>
      <c r="O19" s="728">
        <f>transport!N14</f>
        <v>0</v>
      </c>
      <c r="P19" s="728">
        <f>transport!O14</f>
        <v>0</v>
      </c>
      <c r="Q19" s="729">
        <f>transport!P14</f>
        <v>0</v>
      </c>
      <c r="R19" s="730">
        <f>SUM(C19:Q19)</f>
        <v>96568.923575310735</v>
      </c>
      <c r="S19" s="67"/>
    </row>
    <row r="20" spans="1:19" s="475" customFormat="1" ht="15.75" thickBot="1">
      <c r="A20" s="731" t="s">
        <v>230</v>
      </c>
      <c r="B20" s="879"/>
      <c r="C20" s="874">
        <f>SUM(C17:C19)</f>
        <v>14.510059528741547</v>
      </c>
      <c r="D20" s="732">
        <f t="shared" ref="D20:R20" si="1">SUM(D17:D19)</f>
        <v>0</v>
      </c>
      <c r="E20" s="732">
        <f t="shared" si="1"/>
        <v>38.296138179070979</v>
      </c>
      <c r="F20" s="732">
        <f t="shared" si="1"/>
        <v>284.99826655398863</v>
      </c>
      <c r="G20" s="732">
        <f t="shared" si="1"/>
        <v>0</v>
      </c>
      <c r="H20" s="732">
        <f t="shared" si="1"/>
        <v>77019.65454279774</v>
      </c>
      <c r="I20" s="732">
        <f t="shared" si="1"/>
        <v>14901.604805631454</v>
      </c>
      <c r="J20" s="732">
        <f t="shared" si="1"/>
        <v>0</v>
      </c>
      <c r="K20" s="732">
        <f t="shared" si="1"/>
        <v>0</v>
      </c>
      <c r="L20" s="732">
        <f t="shared" si="1"/>
        <v>0</v>
      </c>
      <c r="M20" s="732">
        <f t="shared" si="1"/>
        <v>0</v>
      </c>
      <c r="N20" s="732">
        <f t="shared" si="1"/>
        <v>4913.4965684527015</v>
      </c>
      <c r="O20" s="732">
        <f t="shared" si="1"/>
        <v>0</v>
      </c>
      <c r="P20" s="732">
        <f t="shared" si="1"/>
        <v>0</v>
      </c>
      <c r="Q20" s="733">
        <f t="shared" si="1"/>
        <v>0</v>
      </c>
      <c r="R20" s="734">
        <f t="shared" si="1"/>
        <v>97172.560381143689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51.406999999999996</v>
      </c>
      <c r="D22" s="728">
        <f>+landbouw!C8</f>
        <v>0</v>
      </c>
      <c r="E22" s="728">
        <f>+landbouw!D8</f>
        <v>2478.8088573816667</v>
      </c>
      <c r="F22" s="728">
        <f>+landbouw!E8</f>
        <v>0.47615316523079221</v>
      </c>
      <c r="G22" s="728">
        <f>+landbouw!F8</f>
        <v>130.42935202345021</v>
      </c>
      <c r="H22" s="728">
        <f>+landbouw!G8</f>
        <v>0</v>
      </c>
      <c r="I22" s="728">
        <f>+landbouw!H8</f>
        <v>0</v>
      </c>
      <c r="J22" s="728">
        <f>+landbouw!I8</f>
        <v>0</v>
      </c>
      <c r="K22" s="728">
        <f>+landbouw!J8</f>
        <v>7.8812668037944107</v>
      </c>
      <c r="L22" s="728">
        <f>+landbouw!K8</f>
        <v>0</v>
      </c>
      <c r="M22" s="728">
        <f>+landbouw!L8</f>
        <v>0</v>
      </c>
      <c r="N22" s="728">
        <f>+landbouw!M8</f>
        <v>0</v>
      </c>
      <c r="O22" s="728">
        <f>+landbouw!N8</f>
        <v>0</v>
      </c>
      <c r="P22" s="728">
        <f>+landbouw!O8</f>
        <v>0</v>
      </c>
      <c r="Q22" s="729">
        <f>+landbouw!P8</f>
        <v>0</v>
      </c>
      <c r="R22" s="730">
        <f>SUM(C22:Q22)</f>
        <v>2669.0026293741421</v>
      </c>
      <c r="S22" s="67"/>
    </row>
    <row r="23" spans="1:19" s="475" customFormat="1" ht="17.25" thickTop="1" thickBot="1">
      <c r="A23" s="735" t="s">
        <v>116</v>
      </c>
      <c r="B23" s="865"/>
      <c r="C23" s="736">
        <f ca="1">C20+C15+C22</f>
        <v>31532.405143454085</v>
      </c>
      <c r="D23" s="736">
        <f t="shared" ref="D23:Q23" ca="1" si="2">D20+D15+D22</f>
        <v>0</v>
      </c>
      <c r="E23" s="736">
        <f t="shared" ca="1" si="2"/>
        <v>95813.274856518925</v>
      </c>
      <c r="F23" s="736">
        <f t="shared" si="2"/>
        <v>1790.9907425221868</v>
      </c>
      <c r="G23" s="736">
        <f t="shared" ca="1" si="2"/>
        <v>8732.9808707580669</v>
      </c>
      <c r="H23" s="736">
        <f t="shared" si="2"/>
        <v>77019.65454279774</v>
      </c>
      <c r="I23" s="736">
        <f t="shared" si="2"/>
        <v>14901.604805631454</v>
      </c>
      <c r="J23" s="736">
        <f t="shared" si="2"/>
        <v>0</v>
      </c>
      <c r="K23" s="736">
        <f t="shared" si="2"/>
        <v>9.238458125877079</v>
      </c>
      <c r="L23" s="736">
        <f t="shared" si="2"/>
        <v>0</v>
      </c>
      <c r="M23" s="736">
        <f t="shared" ca="1" si="2"/>
        <v>0</v>
      </c>
      <c r="N23" s="736">
        <f t="shared" si="2"/>
        <v>4913.4965684527015</v>
      </c>
      <c r="O23" s="736">
        <f t="shared" ca="1" si="2"/>
        <v>2988.6627650224536</v>
      </c>
      <c r="P23" s="736">
        <f t="shared" si="2"/>
        <v>81.293333333333337</v>
      </c>
      <c r="Q23" s="737">
        <f t="shared" si="2"/>
        <v>171.6</v>
      </c>
      <c r="R23" s="738">
        <f ca="1">R20+R15+R22</f>
        <v>237955.20208661683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1966.5976997186472</v>
      </c>
      <c r="D36" s="719">
        <f ca="1">tertiair!C20</f>
        <v>0</v>
      </c>
      <c r="E36" s="719">
        <f ca="1">tertiair!D20</f>
        <v>3138.7079291950495</v>
      </c>
      <c r="F36" s="719">
        <f>tertiair!E20</f>
        <v>15.200725697584145</v>
      </c>
      <c r="G36" s="719">
        <f ca="1">tertiair!F20</f>
        <v>307.9797335300151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5428.486088141296</v>
      </c>
    </row>
    <row r="37" spans="1:18">
      <c r="A37" s="886" t="s">
        <v>225</v>
      </c>
      <c r="B37" s="893"/>
      <c r="C37" s="719">
        <f ca="1">huishoudens!B12</f>
        <v>4757.3308880540881</v>
      </c>
      <c r="D37" s="719">
        <f ca="1">huishoudens!C12</f>
        <v>0</v>
      </c>
      <c r="E37" s="719">
        <f>huishoudens!D12</f>
        <v>15540.19840879784</v>
      </c>
      <c r="F37" s="719">
        <f>huishoudens!E12</f>
        <v>315.47654980458259</v>
      </c>
      <c r="G37" s="719">
        <f>huishoudens!F12</f>
        <v>1927.0868327201485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22540.092679376659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77.144563168482577</v>
      </c>
      <c r="D39" s="719">
        <f ca="1">industrie!C22</f>
        <v>0</v>
      </c>
      <c r="E39" s="719">
        <f>industrie!D22</f>
        <v>166.91997392066708</v>
      </c>
      <c r="F39" s="719">
        <f>industrie!E22</f>
        <v>11.074929774106836</v>
      </c>
      <c r="G39" s="719">
        <f>industrie!F22</f>
        <v>61.814689251979004</v>
      </c>
      <c r="H39" s="719">
        <f>industrie!G22</f>
        <v>0</v>
      </c>
      <c r="I39" s="719">
        <f>industrie!H22</f>
        <v>0</v>
      </c>
      <c r="J39" s="719">
        <f>industrie!I22</f>
        <v>0</v>
      </c>
      <c r="K39" s="719">
        <f>industrie!J22</f>
        <v>0.48044572801726443</v>
      </c>
      <c r="L39" s="719">
        <f>industrie!K22</f>
        <v>0</v>
      </c>
      <c r="M39" s="719">
        <f>industrie!L22</f>
        <v>0</v>
      </c>
      <c r="N39" s="719">
        <f>industrie!M22</f>
        <v>0</v>
      </c>
      <c r="O39" s="719">
        <f>industrie!N22</f>
        <v>0</v>
      </c>
      <c r="P39" s="719">
        <f>industrie!O22</f>
        <v>0</v>
      </c>
      <c r="Q39" s="829">
        <f>industrie!P22</f>
        <v>0</v>
      </c>
      <c r="R39" s="919">
        <f ca="1">SUM(C39:Q39)</f>
        <v>317.43460184325278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6801.073150941218</v>
      </c>
      <c r="D41" s="764">
        <f t="shared" ref="D41:R41" ca="1" si="4">SUM(D35:D40)</f>
        <v>0</v>
      </c>
      <c r="E41" s="764">
        <f t="shared" ca="1" si="4"/>
        <v>18845.826311913555</v>
      </c>
      <c r="F41" s="764">
        <f t="shared" si="4"/>
        <v>341.75220527627357</v>
      </c>
      <c r="G41" s="764">
        <f t="shared" ca="1" si="4"/>
        <v>2296.8812555021427</v>
      </c>
      <c r="H41" s="764">
        <f t="shared" si="4"/>
        <v>0</v>
      </c>
      <c r="I41" s="764">
        <f t="shared" si="4"/>
        <v>0</v>
      </c>
      <c r="J41" s="764">
        <f t="shared" si="4"/>
        <v>0</v>
      </c>
      <c r="K41" s="764">
        <f t="shared" si="4"/>
        <v>0.48044572801726443</v>
      </c>
      <c r="L41" s="764">
        <f t="shared" si="4"/>
        <v>0</v>
      </c>
      <c r="M41" s="764">
        <f t="shared" ca="1" si="4"/>
        <v>0</v>
      </c>
      <c r="N41" s="764">
        <f t="shared" si="4"/>
        <v>0</v>
      </c>
      <c r="O41" s="764">
        <f t="shared" ca="1" si="4"/>
        <v>0</v>
      </c>
      <c r="P41" s="764">
        <f t="shared" si="4"/>
        <v>0</v>
      </c>
      <c r="Q41" s="765">
        <f t="shared" si="4"/>
        <v>0</v>
      </c>
      <c r="R41" s="766">
        <f t="shared" ca="1" si="4"/>
        <v>28286.013369361208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152.4757780274015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152.4757780274015</v>
      </c>
    </row>
    <row r="45" spans="1:18" ht="15" thickBot="1">
      <c r="A45" s="889" t="s">
        <v>307</v>
      </c>
      <c r="B45" s="899"/>
      <c r="C45" s="728">
        <f ca="1">transport!B18</f>
        <v>3.1361611126185895</v>
      </c>
      <c r="D45" s="728">
        <f>transport!C18</f>
        <v>0</v>
      </c>
      <c r="E45" s="728">
        <f>transport!D18</f>
        <v>7.7358199121723379</v>
      </c>
      <c r="F45" s="728">
        <f>transport!E18</f>
        <v>64.694606507755424</v>
      </c>
      <c r="G45" s="728">
        <f>transport!F18</f>
        <v>0</v>
      </c>
      <c r="H45" s="728">
        <f>transport!G18</f>
        <v>20411.771984899595</v>
      </c>
      <c r="I45" s="728">
        <f>transport!H18</f>
        <v>3710.499596602232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24197.838169034374</v>
      </c>
    </row>
    <row r="46" spans="1:18" ht="15.75" thickBot="1">
      <c r="A46" s="887" t="s">
        <v>230</v>
      </c>
      <c r="B46" s="900"/>
      <c r="C46" s="764">
        <f t="shared" ref="C46:R46" ca="1" si="5">SUM(C43:C45)</f>
        <v>3.1361611126185895</v>
      </c>
      <c r="D46" s="764">
        <f t="shared" ca="1" si="5"/>
        <v>0</v>
      </c>
      <c r="E46" s="764">
        <f t="shared" si="5"/>
        <v>7.7358199121723379</v>
      </c>
      <c r="F46" s="764">
        <f t="shared" si="5"/>
        <v>64.694606507755424</v>
      </c>
      <c r="G46" s="764">
        <f t="shared" si="5"/>
        <v>0</v>
      </c>
      <c r="H46" s="764">
        <f t="shared" si="5"/>
        <v>20564.247762926996</v>
      </c>
      <c r="I46" s="764">
        <f t="shared" si="5"/>
        <v>3710.499596602232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24350.313947061775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11.110956092015872</v>
      </c>
      <c r="D48" s="719">
        <f ca="1">+landbouw!C12</f>
        <v>0</v>
      </c>
      <c r="E48" s="719">
        <f>+landbouw!D12</f>
        <v>500.7193891910967</v>
      </c>
      <c r="F48" s="719">
        <f>+landbouw!E12</f>
        <v>0.10808676850738984</v>
      </c>
      <c r="G48" s="719">
        <f>+landbouw!F12</f>
        <v>34.824636990261205</v>
      </c>
      <c r="H48" s="719">
        <f>+landbouw!G12</f>
        <v>0</v>
      </c>
      <c r="I48" s="719">
        <f>+landbouw!H12</f>
        <v>0</v>
      </c>
      <c r="J48" s="719">
        <f>+landbouw!I12</f>
        <v>0</v>
      </c>
      <c r="K48" s="719">
        <f>+landbouw!J12</f>
        <v>2.7899684485432212</v>
      </c>
      <c r="L48" s="719">
        <f>+landbouw!K12</f>
        <v>0</v>
      </c>
      <c r="M48" s="719">
        <f>+landbouw!L12</f>
        <v>0</v>
      </c>
      <c r="N48" s="719">
        <f>+landbouw!M12</f>
        <v>0</v>
      </c>
      <c r="O48" s="719">
        <f>+landbouw!N12</f>
        <v>0</v>
      </c>
      <c r="P48" s="719">
        <f>+landbouw!O12</f>
        <v>0</v>
      </c>
      <c r="Q48" s="720">
        <f>+landbouw!P12</f>
        <v>0</v>
      </c>
      <c r="R48" s="762">
        <f ca="1">SUM(C48:Q48)</f>
        <v>549.55303749042446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6815.3202681458524</v>
      </c>
      <c r="D53" s="774">
        <f t="shared" ref="D53:Q53" ca="1" si="6">D41+D46+D48</f>
        <v>0</v>
      </c>
      <c r="E53" s="774">
        <f t="shared" ca="1" si="6"/>
        <v>19354.281521016826</v>
      </c>
      <c r="F53" s="774">
        <f t="shared" si="6"/>
        <v>406.55489855253643</v>
      </c>
      <c r="G53" s="774">
        <f t="shared" ca="1" si="6"/>
        <v>2331.705892492404</v>
      </c>
      <c r="H53" s="774">
        <f t="shared" si="6"/>
        <v>20564.247762926996</v>
      </c>
      <c r="I53" s="774">
        <f t="shared" si="6"/>
        <v>3710.499596602232</v>
      </c>
      <c r="J53" s="774">
        <f t="shared" si="6"/>
        <v>0</v>
      </c>
      <c r="K53" s="774">
        <f t="shared" si="6"/>
        <v>3.2704141765604855</v>
      </c>
      <c r="L53" s="774">
        <f t="shared" si="6"/>
        <v>0</v>
      </c>
      <c r="M53" s="774">
        <f t="shared" ca="1" si="6"/>
        <v>0</v>
      </c>
      <c r="N53" s="774">
        <f t="shared" si="6"/>
        <v>0</v>
      </c>
      <c r="O53" s="774">
        <f t="shared" ca="1" si="6"/>
        <v>0</v>
      </c>
      <c r="P53" s="774">
        <f>P41+P46+P48</f>
        <v>0</v>
      </c>
      <c r="Q53" s="775">
        <f t="shared" si="6"/>
        <v>0</v>
      </c>
      <c r="R53" s="776">
        <f ca="1">R41+R46+R48</f>
        <v>53185.88035391341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0.21613702593062956</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693.85189392534357</v>
      </c>
      <c r="C66" s="796">
        <f>'lokale energieproductie'!B6</f>
        <v>693.85189392534357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693.85189392534357</v>
      </c>
      <c r="C69" s="804">
        <f>SUM(C64:C68)</f>
        <v>693.85189392534357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22010.716893925346</v>
      </c>
      <c r="C4" s="479">
        <f>huishoudens!C8</f>
        <v>0</v>
      </c>
      <c r="D4" s="479">
        <f>huishoudens!D8</f>
        <v>76931.675291078413</v>
      </c>
      <c r="E4" s="479">
        <f>huishoudens!E8</f>
        <v>1389.7645365840642</v>
      </c>
      <c r="F4" s="479">
        <f>huishoudens!F8</f>
        <v>7217.5536805998072</v>
      </c>
      <c r="G4" s="479">
        <f>huishoudens!G8</f>
        <v>0</v>
      </c>
      <c r="H4" s="479">
        <f>huishoudens!H8</f>
        <v>0</v>
      </c>
      <c r="I4" s="479">
        <f>huishoudens!I8</f>
        <v>0</v>
      </c>
      <c r="J4" s="479">
        <f>huishoudens!J8</f>
        <v>0</v>
      </c>
      <c r="K4" s="479">
        <f>huishoudens!K8</f>
        <v>0</v>
      </c>
      <c r="L4" s="479">
        <f>huishoudens!L8</f>
        <v>0</v>
      </c>
      <c r="M4" s="479">
        <f>huishoudens!M8</f>
        <v>0</v>
      </c>
      <c r="N4" s="479">
        <f>huishoudens!N8</f>
        <v>2147.1794050413873</v>
      </c>
      <c r="O4" s="479">
        <f>huishoudens!O8</f>
        <v>81.293333333333337</v>
      </c>
      <c r="P4" s="480">
        <f>huishoudens!P8</f>
        <v>171.6</v>
      </c>
      <c r="Q4" s="481">
        <f>SUM(B4:P4)</f>
        <v>109949.78314056236</v>
      </c>
    </row>
    <row r="5" spans="1:17">
      <c r="A5" s="478" t="s">
        <v>156</v>
      </c>
      <c r="B5" s="479">
        <f ca="1">tertiair!B16</f>
        <v>8118.0348599999998</v>
      </c>
      <c r="C5" s="479">
        <f ca="1">tertiair!C16</f>
        <v>0</v>
      </c>
      <c r="D5" s="479">
        <f ca="1">tertiair!D16</f>
        <v>15538.158065322026</v>
      </c>
      <c r="E5" s="479">
        <f>tertiair!E16</f>
        <v>66.963549328564511</v>
      </c>
      <c r="F5" s="479">
        <f ca="1">tertiair!F16</f>
        <v>1153.4821480524909</v>
      </c>
      <c r="G5" s="479">
        <f>tertiair!G16</f>
        <v>0</v>
      </c>
      <c r="H5" s="479">
        <f>tertiair!H16</f>
        <v>0</v>
      </c>
      <c r="I5" s="479">
        <f>tertiair!I16</f>
        <v>0</v>
      </c>
      <c r="J5" s="479">
        <f>tertiair!J16</f>
        <v>0</v>
      </c>
      <c r="K5" s="479">
        <f>tertiair!K16</f>
        <v>0</v>
      </c>
      <c r="L5" s="479">
        <f ca="1">tertiair!L16</f>
        <v>0</v>
      </c>
      <c r="M5" s="479">
        <f>tertiair!M16</f>
        <v>0</v>
      </c>
      <c r="N5" s="479">
        <f ca="1">tertiair!N16</f>
        <v>750.81714097373469</v>
      </c>
      <c r="O5" s="479">
        <f>tertiair!O16</f>
        <v>0</v>
      </c>
      <c r="P5" s="480">
        <f>tertiair!P16</f>
        <v>0</v>
      </c>
      <c r="Q5" s="478">
        <f t="shared" ref="Q5:Q13" ca="1" si="0">SUM(B5:P5)</f>
        <v>25627.455763676815</v>
      </c>
    </row>
    <row r="6" spans="1:17">
      <c r="A6" s="478" t="s">
        <v>194</v>
      </c>
      <c r="B6" s="479">
        <f>'openbare verlichting'!B8</f>
        <v>980.81200000000001</v>
      </c>
      <c r="C6" s="479"/>
      <c r="D6" s="479"/>
      <c r="E6" s="479"/>
      <c r="F6" s="479"/>
      <c r="G6" s="479"/>
      <c r="H6" s="479"/>
      <c r="I6" s="479"/>
      <c r="J6" s="479"/>
      <c r="K6" s="479"/>
      <c r="L6" s="479"/>
      <c r="M6" s="479"/>
      <c r="N6" s="479"/>
      <c r="O6" s="479"/>
      <c r="P6" s="480"/>
      <c r="Q6" s="478">
        <f t="shared" si="0"/>
        <v>980.81200000000001</v>
      </c>
    </row>
    <row r="7" spans="1:17">
      <c r="A7" s="478" t="s">
        <v>112</v>
      </c>
      <c r="B7" s="479">
        <f>landbouw!B8</f>
        <v>51.406999999999996</v>
      </c>
      <c r="C7" s="479">
        <f>landbouw!C8</f>
        <v>0</v>
      </c>
      <c r="D7" s="479">
        <f>landbouw!D8</f>
        <v>2478.8088573816667</v>
      </c>
      <c r="E7" s="479">
        <f>landbouw!E8</f>
        <v>0.47615316523079221</v>
      </c>
      <c r="F7" s="479">
        <f>landbouw!F8</f>
        <v>130.42935202345021</v>
      </c>
      <c r="G7" s="479">
        <f>landbouw!G8</f>
        <v>0</v>
      </c>
      <c r="H7" s="479">
        <f>landbouw!H8</f>
        <v>0</v>
      </c>
      <c r="I7" s="479">
        <f>landbouw!I8</f>
        <v>0</v>
      </c>
      <c r="J7" s="479">
        <f>landbouw!J8</f>
        <v>7.8812668037944107</v>
      </c>
      <c r="K7" s="479">
        <f>landbouw!K8</f>
        <v>0</v>
      </c>
      <c r="L7" s="479">
        <f>landbouw!L8</f>
        <v>0</v>
      </c>
      <c r="M7" s="479">
        <f>landbouw!M8</f>
        <v>0</v>
      </c>
      <c r="N7" s="479">
        <f>landbouw!N8</f>
        <v>0</v>
      </c>
      <c r="O7" s="479">
        <f>landbouw!O8</f>
        <v>0</v>
      </c>
      <c r="P7" s="480">
        <f>landbouw!P8</f>
        <v>0</v>
      </c>
      <c r="Q7" s="478">
        <f t="shared" si="0"/>
        <v>2669.0026293741421</v>
      </c>
    </row>
    <row r="8" spans="1:17">
      <c r="A8" s="478" t="s">
        <v>650</v>
      </c>
      <c r="B8" s="479">
        <f>industrie!B18</f>
        <v>356.92433</v>
      </c>
      <c r="C8" s="479">
        <f>industrie!C18</f>
        <v>0</v>
      </c>
      <c r="D8" s="479">
        <f>industrie!D18</f>
        <v>826.33650455775773</v>
      </c>
      <c r="E8" s="479">
        <f>industrie!E18</f>
        <v>48.788236890338489</v>
      </c>
      <c r="F8" s="479">
        <f>industrie!F18</f>
        <v>231.51569008231834</v>
      </c>
      <c r="G8" s="479">
        <f>industrie!G18</f>
        <v>0</v>
      </c>
      <c r="H8" s="479">
        <f>industrie!H18</f>
        <v>0</v>
      </c>
      <c r="I8" s="479">
        <f>industrie!I18</f>
        <v>0</v>
      </c>
      <c r="J8" s="479">
        <f>industrie!J18</f>
        <v>1.3571913220826679</v>
      </c>
      <c r="K8" s="479">
        <f>industrie!K18</f>
        <v>0</v>
      </c>
      <c r="L8" s="479">
        <f>industrie!L18</f>
        <v>0</v>
      </c>
      <c r="M8" s="479">
        <f>industrie!M18</f>
        <v>0</v>
      </c>
      <c r="N8" s="479">
        <f>industrie!N18</f>
        <v>90.666219007331449</v>
      </c>
      <c r="O8" s="479">
        <f>industrie!O18</f>
        <v>0</v>
      </c>
      <c r="P8" s="480">
        <f>industrie!P18</f>
        <v>0</v>
      </c>
      <c r="Q8" s="478">
        <f t="shared" si="0"/>
        <v>1555.5881718598287</v>
      </c>
    </row>
    <row r="9" spans="1:17" s="484" customFormat="1">
      <c r="A9" s="482" t="s">
        <v>571</v>
      </c>
      <c r="B9" s="483">
        <f>transport!B14</f>
        <v>14.510059528741547</v>
      </c>
      <c r="C9" s="483">
        <f>transport!C14</f>
        <v>0</v>
      </c>
      <c r="D9" s="483">
        <f>transport!D14</f>
        <v>38.296138179070979</v>
      </c>
      <c r="E9" s="483">
        <f>transport!E14</f>
        <v>284.99826655398863</v>
      </c>
      <c r="F9" s="483">
        <f>transport!F14</f>
        <v>0</v>
      </c>
      <c r="G9" s="483">
        <f>transport!G14</f>
        <v>76448.584213107097</v>
      </c>
      <c r="H9" s="483">
        <f>transport!H14</f>
        <v>14901.604805631454</v>
      </c>
      <c r="I9" s="483">
        <f>transport!I14</f>
        <v>0</v>
      </c>
      <c r="J9" s="483">
        <f>transport!J14</f>
        <v>0</v>
      </c>
      <c r="K9" s="483">
        <f>transport!K14</f>
        <v>0</v>
      </c>
      <c r="L9" s="483">
        <f>transport!L14</f>
        <v>0</v>
      </c>
      <c r="M9" s="483">
        <f>transport!M14</f>
        <v>4880.9300923103847</v>
      </c>
      <c r="N9" s="483">
        <f>transport!N14</f>
        <v>0</v>
      </c>
      <c r="O9" s="483">
        <f>transport!O14</f>
        <v>0</v>
      </c>
      <c r="P9" s="483">
        <f>transport!P14</f>
        <v>0</v>
      </c>
      <c r="Q9" s="482">
        <f>SUM(B9:P9)</f>
        <v>96568.923575310735</v>
      </c>
    </row>
    <row r="10" spans="1:17">
      <c r="A10" s="478" t="s">
        <v>561</v>
      </c>
      <c r="B10" s="479">
        <f>transport!B54</f>
        <v>0</v>
      </c>
      <c r="C10" s="479">
        <f>transport!C54</f>
        <v>0</v>
      </c>
      <c r="D10" s="479">
        <f>transport!D54</f>
        <v>0</v>
      </c>
      <c r="E10" s="479">
        <f>transport!E54</f>
        <v>0</v>
      </c>
      <c r="F10" s="479">
        <f>transport!F54</f>
        <v>0</v>
      </c>
      <c r="G10" s="479">
        <f>transport!G54</f>
        <v>571.07032969064232</v>
      </c>
      <c r="H10" s="479">
        <f>transport!H54</f>
        <v>0</v>
      </c>
      <c r="I10" s="479">
        <f>transport!I54</f>
        <v>0</v>
      </c>
      <c r="J10" s="479">
        <f>transport!J54</f>
        <v>0</v>
      </c>
      <c r="K10" s="479">
        <f>transport!K54</f>
        <v>0</v>
      </c>
      <c r="L10" s="479">
        <f>transport!L54</f>
        <v>0</v>
      </c>
      <c r="M10" s="479">
        <f>transport!M54</f>
        <v>32.566476142316368</v>
      </c>
      <c r="N10" s="479">
        <f>transport!N54</f>
        <v>0</v>
      </c>
      <c r="O10" s="479">
        <f>transport!O54</f>
        <v>0</v>
      </c>
      <c r="P10" s="480">
        <f>transport!P54</f>
        <v>0</v>
      </c>
      <c r="Q10" s="478">
        <f t="shared" si="0"/>
        <v>603.63680583295866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31532.405143454089</v>
      </c>
      <c r="C14" s="489">
        <f t="shared" ref="C14:Q14" ca="1" si="1">SUM(C4:C13)</f>
        <v>0</v>
      </c>
      <c r="D14" s="489">
        <f t="shared" ca="1" si="1"/>
        <v>95813.274856518925</v>
      </c>
      <c r="E14" s="489">
        <f t="shared" si="1"/>
        <v>1790.9907425221868</v>
      </c>
      <c r="F14" s="489">
        <f t="shared" ca="1" si="1"/>
        <v>8732.9808707580669</v>
      </c>
      <c r="G14" s="489">
        <f t="shared" si="1"/>
        <v>77019.65454279774</v>
      </c>
      <c r="H14" s="489">
        <f t="shared" si="1"/>
        <v>14901.604805631454</v>
      </c>
      <c r="I14" s="489">
        <f t="shared" si="1"/>
        <v>0</v>
      </c>
      <c r="J14" s="489">
        <f t="shared" si="1"/>
        <v>9.238458125877079</v>
      </c>
      <c r="K14" s="489">
        <f t="shared" si="1"/>
        <v>0</v>
      </c>
      <c r="L14" s="489">
        <f t="shared" ca="1" si="1"/>
        <v>0</v>
      </c>
      <c r="M14" s="489">
        <f t="shared" si="1"/>
        <v>4913.4965684527015</v>
      </c>
      <c r="N14" s="489">
        <f t="shared" ca="1" si="1"/>
        <v>2988.6627650224536</v>
      </c>
      <c r="O14" s="489">
        <f t="shared" si="1"/>
        <v>81.293333333333337</v>
      </c>
      <c r="P14" s="490">
        <f t="shared" si="1"/>
        <v>171.6</v>
      </c>
      <c r="Q14" s="490">
        <f t="shared" ca="1" si="1"/>
        <v>237955.20208661686</v>
      </c>
    </row>
    <row r="16" spans="1:17">
      <c r="A16" s="492" t="s">
        <v>566</v>
      </c>
      <c r="B16" s="842">
        <f ca="1">huishoudens!B10</f>
        <v>0.21613702593062953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4757.3308880540881</v>
      </c>
      <c r="C21" s="479">
        <f t="shared" ref="C21:C30" ca="1" si="3">C4*$C$16</f>
        <v>0</v>
      </c>
      <c r="D21" s="479">
        <f t="shared" ref="D21:D30" si="4">D4*$D$16</f>
        <v>15540.19840879784</v>
      </c>
      <c r="E21" s="479">
        <f t="shared" ref="E21:E30" si="5">E4*$E$16</f>
        <v>315.47654980458259</v>
      </c>
      <c r="F21" s="479">
        <f t="shared" ref="F21:F30" si="6">F4*$F$16</f>
        <v>1927.0868327201485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22540.092679376659</v>
      </c>
    </row>
    <row r="22" spans="1:17">
      <c r="A22" s="478" t="s">
        <v>156</v>
      </c>
      <c r="B22" s="479">
        <f t="shared" ca="1" si="2"/>
        <v>1754.6079110415744</v>
      </c>
      <c r="C22" s="479">
        <f t="shared" ca="1" si="3"/>
        <v>0</v>
      </c>
      <c r="D22" s="479">
        <f t="shared" ca="1" si="4"/>
        <v>3138.7079291950495</v>
      </c>
      <c r="E22" s="479">
        <f t="shared" si="5"/>
        <v>15.200725697584145</v>
      </c>
      <c r="F22" s="479">
        <f t="shared" ca="1" si="6"/>
        <v>307.9797335300151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5216.4962994642237</v>
      </c>
    </row>
    <row r="23" spans="1:17">
      <c r="A23" s="478" t="s">
        <v>194</v>
      </c>
      <c r="B23" s="479">
        <f t="shared" ca="1" si="2"/>
        <v>211.98978867707262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211.98978867707262</v>
      </c>
    </row>
    <row r="24" spans="1:17">
      <c r="A24" s="478" t="s">
        <v>112</v>
      </c>
      <c r="B24" s="479">
        <f t="shared" ca="1" si="2"/>
        <v>11.110956092015872</v>
      </c>
      <c r="C24" s="479">
        <f t="shared" ca="1" si="3"/>
        <v>0</v>
      </c>
      <c r="D24" s="479">
        <f t="shared" si="4"/>
        <v>500.7193891910967</v>
      </c>
      <c r="E24" s="479">
        <f t="shared" si="5"/>
        <v>0.10808676850738984</v>
      </c>
      <c r="F24" s="479">
        <f t="shared" si="6"/>
        <v>34.824636990261205</v>
      </c>
      <c r="G24" s="479">
        <f t="shared" si="7"/>
        <v>0</v>
      </c>
      <c r="H24" s="479">
        <f t="shared" si="8"/>
        <v>0</v>
      </c>
      <c r="I24" s="479">
        <f t="shared" si="9"/>
        <v>0</v>
      </c>
      <c r="J24" s="479">
        <f t="shared" si="10"/>
        <v>2.7899684485432212</v>
      </c>
      <c r="K24" s="479">
        <f t="shared" si="11"/>
        <v>0</v>
      </c>
      <c r="L24" s="479">
        <f t="shared" si="12"/>
        <v>0</v>
      </c>
      <c r="M24" s="479">
        <f t="shared" si="13"/>
        <v>0</v>
      </c>
      <c r="N24" s="479">
        <f t="shared" si="14"/>
        <v>0</v>
      </c>
      <c r="O24" s="479">
        <f t="shared" si="15"/>
        <v>0</v>
      </c>
      <c r="P24" s="480">
        <f t="shared" si="16"/>
        <v>0</v>
      </c>
      <c r="Q24" s="478">
        <f t="shared" ca="1" si="17"/>
        <v>549.55303749042446</v>
      </c>
    </row>
    <row r="25" spans="1:17">
      <c r="A25" s="478" t="s">
        <v>650</v>
      </c>
      <c r="B25" s="479">
        <f t="shared" ca="1" si="2"/>
        <v>77.144563168482577</v>
      </c>
      <c r="C25" s="479">
        <f t="shared" ca="1" si="3"/>
        <v>0</v>
      </c>
      <c r="D25" s="479">
        <f t="shared" si="4"/>
        <v>166.91997392066708</v>
      </c>
      <c r="E25" s="479">
        <f t="shared" si="5"/>
        <v>11.074929774106836</v>
      </c>
      <c r="F25" s="479">
        <f t="shared" si="6"/>
        <v>61.814689251979004</v>
      </c>
      <c r="G25" s="479">
        <f t="shared" si="7"/>
        <v>0</v>
      </c>
      <c r="H25" s="479">
        <f t="shared" si="8"/>
        <v>0</v>
      </c>
      <c r="I25" s="479">
        <f t="shared" si="9"/>
        <v>0</v>
      </c>
      <c r="J25" s="479">
        <f t="shared" si="10"/>
        <v>0.48044572801726443</v>
      </c>
      <c r="K25" s="479">
        <f t="shared" si="11"/>
        <v>0</v>
      </c>
      <c r="L25" s="479">
        <f t="shared" si="12"/>
        <v>0</v>
      </c>
      <c r="M25" s="479">
        <f t="shared" si="13"/>
        <v>0</v>
      </c>
      <c r="N25" s="479">
        <f t="shared" si="14"/>
        <v>0</v>
      </c>
      <c r="O25" s="479">
        <f t="shared" si="15"/>
        <v>0</v>
      </c>
      <c r="P25" s="480">
        <f t="shared" si="16"/>
        <v>0</v>
      </c>
      <c r="Q25" s="478">
        <f t="shared" ca="1" si="17"/>
        <v>317.43460184325278</v>
      </c>
    </row>
    <row r="26" spans="1:17" s="484" customFormat="1">
      <c r="A26" s="482" t="s">
        <v>571</v>
      </c>
      <c r="B26" s="836">
        <f t="shared" ca="1" si="2"/>
        <v>3.1361611126185895</v>
      </c>
      <c r="C26" s="483">
        <f t="shared" ca="1" si="3"/>
        <v>0</v>
      </c>
      <c r="D26" s="483">
        <f t="shared" si="4"/>
        <v>7.7358199121723379</v>
      </c>
      <c r="E26" s="483">
        <f t="shared" si="5"/>
        <v>64.694606507755424</v>
      </c>
      <c r="F26" s="483">
        <f t="shared" si="6"/>
        <v>0</v>
      </c>
      <c r="G26" s="483">
        <f t="shared" si="7"/>
        <v>20411.771984899595</v>
      </c>
      <c r="H26" s="483">
        <f t="shared" si="8"/>
        <v>3710.499596602232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24197.838169034374</v>
      </c>
    </row>
    <row r="27" spans="1:17">
      <c r="A27" s="478" t="s">
        <v>561</v>
      </c>
      <c r="B27" s="479">
        <f t="shared" ca="1" si="2"/>
        <v>0</v>
      </c>
      <c r="C27" s="479">
        <f t="shared" ca="1" si="3"/>
        <v>0</v>
      </c>
      <c r="D27" s="479">
        <f t="shared" si="4"/>
        <v>0</v>
      </c>
      <c r="E27" s="479">
        <f t="shared" si="5"/>
        <v>0</v>
      </c>
      <c r="F27" s="479">
        <f t="shared" si="6"/>
        <v>0</v>
      </c>
      <c r="G27" s="479">
        <f t="shared" si="7"/>
        <v>152.4757780274015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152.4757780274015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6815.3202681458515</v>
      </c>
      <c r="C31" s="489">
        <f t="shared" ca="1" si="18"/>
        <v>0</v>
      </c>
      <c r="D31" s="489">
        <f t="shared" ca="1" si="18"/>
        <v>19354.281521016826</v>
      </c>
      <c r="E31" s="489">
        <f t="shared" si="18"/>
        <v>406.55489855253643</v>
      </c>
      <c r="F31" s="489">
        <f t="shared" ca="1" si="18"/>
        <v>2331.705892492404</v>
      </c>
      <c r="G31" s="489">
        <f t="shared" si="18"/>
        <v>20564.247762926996</v>
      </c>
      <c r="H31" s="489">
        <f t="shared" si="18"/>
        <v>3710.499596602232</v>
      </c>
      <c r="I31" s="489">
        <f t="shared" si="18"/>
        <v>0</v>
      </c>
      <c r="J31" s="489">
        <f t="shared" si="18"/>
        <v>3.2704141765604855</v>
      </c>
      <c r="K31" s="489">
        <f t="shared" si="18"/>
        <v>0</v>
      </c>
      <c r="L31" s="489">
        <f t="shared" ca="1" si="18"/>
        <v>0</v>
      </c>
      <c r="M31" s="489">
        <f t="shared" si="18"/>
        <v>0</v>
      </c>
      <c r="N31" s="489">
        <f t="shared" ca="1" si="18"/>
        <v>0</v>
      </c>
      <c r="O31" s="489">
        <f t="shared" si="18"/>
        <v>0</v>
      </c>
      <c r="P31" s="490">
        <f t="shared" si="18"/>
        <v>0</v>
      </c>
      <c r="Q31" s="490">
        <f t="shared" ca="1" si="18"/>
        <v>53185.880353913402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0.21613702593062953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0.21613702593062953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0.21613702593062953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5325</v>
      </c>
      <c r="C9" s="342">
        <v>5373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v>
      </c>
    </row>
    <row r="27" spans="1:6">
      <c r="A27" s="348" t="s">
        <v>17</v>
      </c>
      <c r="B27" s="334">
        <v>0</v>
      </c>
    </row>
    <row r="28" spans="1:6" s="356" customFormat="1">
      <c r="A28" s="355" t="s">
        <v>18</v>
      </c>
      <c r="B28" s="355">
        <v>0</v>
      </c>
    </row>
    <row r="29" spans="1:6">
      <c r="A29" s="355" t="s">
        <v>828</v>
      </c>
      <c r="B29" s="355">
        <v>60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1704343.61097734</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4150</v>
      </c>
      <c r="D39" s="334">
        <v>85290105.644211099</v>
      </c>
      <c r="E39" s="334">
        <v>5311</v>
      </c>
      <c r="F39" s="334">
        <v>21316865</v>
      </c>
    </row>
    <row r="40" spans="1:6">
      <c r="A40" s="348" t="s">
        <v>30</v>
      </c>
      <c r="B40" s="348" t="s">
        <v>29</v>
      </c>
      <c r="C40" s="334">
        <v>0</v>
      </c>
      <c r="D40" s="334">
        <v>0</v>
      </c>
      <c r="E40" s="334">
        <v>0</v>
      </c>
      <c r="F40" s="334">
        <v>0</v>
      </c>
    </row>
    <row r="41" spans="1:6">
      <c r="A41" s="348" t="s">
        <v>32</v>
      </c>
      <c r="B41" s="348" t="s">
        <v>33</v>
      </c>
      <c r="C41" s="334">
        <v>23</v>
      </c>
      <c r="D41" s="334">
        <v>415530.49671329802</v>
      </c>
      <c r="E41" s="334">
        <v>34</v>
      </c>
      <c r="F41" s="334">
        <v>149962.20000000001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57008.73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500585.36199818499</v>
      </c>
      <c r="E48" s="334">
        <v>21</v>
      </c>
      <c r="F48" s="334">
        <v>113065.7</v>
      </c>
    </row>
    <row r="49" spans="1:6">
      <c r="A49" s="348" t="s">
        <v>32</v>
      </c>
      <c r="B49" s="348" t="s">
        <v>40</v>
      </c>
      <c r="C49" s="334">
        <v>0</v>
      </c>
      <c r="D49" s="334">
        <v>0</v>
      </c>
      <c r="E49" s="334">
        <v>0</v>
      </c>
      <c r="F49" s="334">
        <v>0</v>
      </c>
    </row>
    <row r="50" spans="1:6">
      <c r="A50" s="348" t="s">
        <v>32</v>
      </c>
      <c r="B50" s="348" t="s">
        <v>41</v>
      </c>
      <c r="C50" s="334">
        <v>0</v>
      </c>
      <c r="D50" s="334">
        <v>0</v>
      </c>
      <c r="E50" s="334">
        <v>3</v>
      </c>
      <c r="F50" s="334">
        <v>36887.699999999997</v>
      </c>
    </row>
    <row r="51" spans="1:6">
      <c r="A51" s="348" t="s">
        <v>42</v>
      </c>
      <c r="B51" s="348" t="s">
        <v>43</v>
      </c>
      <c r="C51" s="334">
        <v>0</v>
      </c>
      <c r="D51" s="334">
        <v>0</v>
      </c>
      <c r="E51" s="334">
        <v>0</v>
      </c>
      <c r="F51" s="334">
        <v>0</v>
      </c>
    </row>
    <row r="52" spans="1:6">
      <c r="A52" s="348" t="s">
        <v>42</v>
      </c>
      <c r="B52" s="348" t="s">
        <v>29</v>
      </c>
      <c r="C52" s="334">
        <v>1</v>
      </c>
      <c r="D52" s="334">
        <v>41957.092090691098</v>
      </c>
      <c r="E52" s="334">
        <v>2</v>
      </c>
      <c r="F52" s="334">
        <v>51407</v>
      </c>
    </row>
    <row r="53" spans="1:6">
      <c r="A53" s="348" t="s">
        <v>44</v>
      </c>
      <c r="B53" s="348" t="s">
        <v>45</v>
      </c>
      <c r="C53" s="334">
        <v>109</v>
      </c>
      <c r="D53" s="334">
        <v>2706168.0269577201</v>
      </c>
      <c r="E53" s="334">
        <v>176</v>
      </c>
      <c r="F53" s="334">
        <v>735600.1</v>
      </c>
    </row>
    <row r="54" spans="1:6">
      <c r="A54" s="348" t="s">
        <v>46</v>
      </c>
      <c r="B54" s="348" t="s">
        <v>47</v>
      </c>
      <c r="C54" s="334">
        <v>0</v>
      </c>
      <c r="D54" s="334">
        <v>0</v>
      </c>
      <c r="E54" s="334">
        <v>1</v>
      </c>
      <c r="F54" s="334">
        <v>980812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2732101.5297270799</v>
      </c>
      <c r="E57" s="334">
        <v>41</v>
      </c>
      <c r="F57" s="334">
        <v>726837.1</v>
      </c>
    </row>
    <row r="58" spans="1:6">
      <c r="A58" s="348" t="s">
        <v>49</v>
      </c>
      <c r="B58" s="348" t="s">
        <v>51</v>
      </c>
      <c r="C58" s="334">
        <v>18</v>
      </c>
      <c r="D58" s="334">
        <v>539682.75502072799</v>
      </c>
      <c r="E58" s="334">
        <v>23</v>
      </c>
      <c r="F58" s="334">
        <v>397482</v>
      </c>
    </row>
    <row r="59" spans="1:6">
      <c r="A59" s="348" t="s">
        <v>49</v>
      </c>
      <c r="B59" s="348" t="s">
        <v>52</v>
      </c>
      <c r="C59" s="334">
        <v>22</v>
      </c>
      <c r="D59" s="334">
        <v>927215.64633278898</v>
      </c>
      <c r="E59" s="334">
        <v>53</v>
      </c>
      <c r="F59" s="334">
        <v>1859306</v>
      </c>
    </row>
    <row r="60" spans="1:6">
      <c r="A60" s="348" t="s">
        <v>49</v>
      </c>
      <c r="B60" s="348" t="s">
        <v>53</v>
      </c>
      <c r="C60" s="334">
        <v>12</v>
      </c>
      <c r="D60" s="334">
        <v>859964.824069603</v>
      </c>
      <c r="E60" s="334">
        <v>16</v>
      </c>
      <c r="F60" s="334">
        <v>389506.7</v>
      </c>
    </row>
    <row r="61" spans="1:6">
      <c r="A61" s="348" t="s">
        <v>49</v>
      </c>
      <c r="B61" s="348" t="s">
        <v>54</v>
      </c>
      <c r="C61" s="334">
        <v>130</v>
      </c>
      <c r="D61" s="334">
        <v>4991233.4815924503</v>
      </c>
      <c r="E61" s="334">
        <v>220</v>
      </c>
      <c r="F61" s="334">
        <v>2427249</v>
      </c>
    </row>
    <row r="62" spans="1:6">
      <c r="A62" s="348" t="s">
        <v>49</v>
      </c>
      <c r="B62" s="348" t="s">
        <v>55</v>
      </c>
      <c r="C62" s="334">
        <v>6</v>
      </c>
      <c r="D62" s="334">
        <v>1730702.48785442</v>
      </c>
      <c r="E62" s="334">
        <v>3</v>
      </c>
      <c r="F62" s="334">
        <v>18088.060000000001</v>
      </c>
    </row>
    <row r="63" spans="1:6">
      <c r="A63" s="348" t="s">
        <v>49</v>
      </c>
      <c r="B63" s="348" t="s">
        <v>29</v>
      </c>
      <c r="C63" s="334">
        <v>83</v>
      </c>
      <c r="D63" s="334">
        <v>5445438.5939417602</v>
      </c>
      <c r="E63" s="334">
        <v>85</v>
      </c>
      <c r="F63" s="334">
        <v>2299566</v>
      </c>
    </row>
    <row r="64" spans="1:6">
      <c r="A64" s="348" t="s">
        <v>56</v>
      </c>
      <c r="B64" s="348" t="s">
        <v>57</v>
      </c>
      <c r="C64" s="334">
        <v>0</v>
      </c>
      <c r="D64" s="334">
        <v>0</v>
      </c>
      <c r="E64" s="334">
        <v>0</v>
      </c>
      <c r="F64" s="334">
        <v>0</v>
      </c>
    </row>
    <row r="65" spans="1:6">
      <c r="A65" s="348" t="s">
        <v>56</v>
      </c>
      <c r="B65" s="348" t="s">
        <v>29</v>
      </c>
      <c r="C65" s="334">
        <v>0</v>
      </c>
      <c r="D65" s="334">
        <v>0</v>
      </c>
      <c r="E65" s="334">
        <v>1</v>
      </c>
      <c r="F65" s="334">
        <v>36564.370000000003</v>
      </c>
    </row>
    <row r="66" spans="1:6">
      <c r="A66" s="348" t="s">
        <v>56</v>
      </c>
      <c r="B66" s="348" t="s">
        <v>58</v>
      </c>
      <c r="C66" s="334">
        <v>0</v>
      </c>
      <c r="D66" s="334">
        <v>0</v>
      </c>
      <c r="E66" s="334">
        <v>8</v>
      </c>
      <c r="F66" s="334">
        <v>305663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16660913</v>
      </c>
      <c r="E73" s="477">
        <v>22320366.686956245</v>
      </c>
    </row>
    <row r="74" spans="1:6">
      <c r="A74" s="348" t="s">
        <v>64</v>
      </c>
      <c r="B74" s="348" t="s">
        <v>714</v>
      </c>
      <c r="C74" s="1229" t="s">
        <v>716</v>
      </c>
      <c r="D74" s="477">
        <v>463980.91696291207</v>
      </c>
      <c r="E74" s="477">
        <v>638536.87298092176</v>
      </c>
    </row>
    <row r="75" spans="1:6">
      <c r="A75" s="348" t="s">
        <v>65</v>
      </c>
      <c r="B75" s="348" t="s">
        <v>713</v>
      </c>
      <c r="C75" s="1229" t="s">
        <v>717</v>
      </c>
      <c r="D75" s="477">
        <v>14720720</v>
      </c>
      <c r="E75" s="477">
        <v>20503053.887634981</v>
      </c>
    </row>
    <row r="76" spans="1:6">
      <c r="A76" s="348" t="s">
        <v>65</v>
      </c>
      <c r="B76" s="348" t="s">
        <v>714</v>
      </c>
      <c r="C76" s="1229" t="s">
        <v>718</v>
      </c>
      <c r="D76" s="477">
        <v>39255.916962912102</v>
      </c>
      <c r="E76" s="477">
        <v>76936.251390934602</v>
      </c>
    </row>
    <row r="77" spans="1:6">
      <c r="A77" s="348" t="s">
        <v>66</v>
      </c>
      <c r="B77" s="348" t="s">
        <v>713</v>
      </c>
      <c r="C77" s="1229" t="s">
        <v>719</v>
      </c>
      <c r="D77" s="477">
        <v>74489850</v>
      </c>
      <c r="E77" s="477">
        <v>79204438.441423938</v>
      </c>
    </row>
    <row r="78" spans="1:6">
      <c r="A78" s="341" t="s">
        <v>66</v>
      </c>
      <c r="B78" s="341" t="s">
        <v>714</v>
      </c>
      <c r="C78" s="341" t="s">
        <v>720</v>
      </c>
      <c r="D78" s="1225">
        <v>8383320</v>
      </c>
      <c r="E78" s="1225">
        <v>8673368.7746430263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161306.1660741758</v>
      </c>
      <c r="C83" s="477">
        <v>160341.9765511899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693.85189392534357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31532.405143454085</v>
      </c>
      <c r="C3" s="43" t="s">
        <v>170</v>
      </c>
      <c r="D3" s="43"/>
      <c r="E3" s="154"/>
      <c r="F3" s="43"/>
      <c r="G3" s="43"/>
      <c r="H3" s="43"/>
      <c r="I3" s="43"/>
      <c r="J3" s="43"/>
      <c r="K3" s="96"/>
    </row>
    <row r="4" spans="1:11">
      <c r="A4" s="384" t="s">
        <v>171</v>
      </c>
      <c r="B4" s="49">
        <f>IF(ISERROR('SEAP template'!B69),0,'SEAP template'!B69)</f>
        <v>693.85189392534357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0.21613702593062953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980.81200000000001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980.81200000000001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0.21613702593062953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211.98978867707262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21316.865000000002</v>
      </c>
      <c r="C5" s="17">
        <f>IF(ISERROR('Eigen informatie GS &amp; warmtenet'!B57),0,'Eigen informatie GS &amp; warmtenet'!B57)</f>
        <v>0</v>
      </c>
      <c r="D5" s="30">
        <f>(SUM(HH_hh_gas_kWh,HH_rest_gas_kWh)/1000)*0.902</f>
        <v>76931.675291078413</v>
      </c>
      <c r="E5" s="17">
        <f>B46*B57</f>
        <v>1389.7645365840642</v>
      </c>
      <c r="F5" s="17">
        <f>B51*B62</f>
        <v>7217.5536805998072</v>
      </c>
      <c r="G5" s="18"/>
      <c r="H5" s="17"/>
      <c r="I5" s="17"/>
      <c r="J5" s="17">
        <f>B50*B61+C50*C61</f>
        <v>0</v>
      </c>
      <c r="K5" s="17"/>
      <c r="L5" s="17"/>
      <c r="M5" s="17"/>
      <c r="N5" s="17">
        <f>B48*B59+C48*C59</f>
        <v>2147.1794050413873</v>
      </c>
      <c r="O5" s="17">
        <f>B69*B70*B71</f>
        <v>81.293333333333337</v>
      </c>
      <c r="P5" s="17">
        <f>B77*B78*B79/1000-B77*B78*B79/1000/B80</f>
        <v>171.6</v>
      </c>
    </row>
    <row r="6" spans="1:16">
      <c r="A6" s="16" t="s">
        <v>631</v>
      </c>
      <c r="B6" s="844">
        <f>kWh_PV_kleiner_dan_10kW</f>
        <v>693.85189392534357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22010.716893925346</v>
      </c>
      <c r="C8" s="21">
        <f>C5</f>
        <v>0</v>
      </c>
      <c r="D8" s="21">
        <f>D5</f>
        <v>76931.675291078413</v>
      </c>
      <c r="E8" s="21">
        <f>E5</f>
        <v>1389.7645365840642</v>
      </c>
      <c r="F8" s="21">
        <f>F5</f>
        <v>7217.5536805998072</v>
      </c>
      <c r="G8" s="21"/>
      <c r="H8" s="21"/>
      <c r="I8" s="21"/>
      <c r="J8" s="21">
        <f>J5</f>
        <v>0</v>
      </c>
      <c r="K8" s="21"/>
      <c r="L8" s="21">
        <f>L5</f>
        <v>0</v>
      </c>
      <c r="M8" s="21">
        <f>M5</f>
        <v>0</v>
      </c>
      <c r="N8" s="21">
        <f>N5</f>
        <v>2147.1794050413873</v>
      </c>
      <c r="O8" s="21">
        <f>O5</f>
        <v>81.293333333333337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0.21613702593062953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4757.3308880540881</v>
      </c>
      <c r="C12" s="23">
        <f ca="1">C10*C8</f>
        <v>0</v>
      </c>
      <c r="D12" s="23">
        <f>D8*D10</f>
        <v>15540.19840879784</v>
      </c>
      <c r="E12" s="23">
        <f>E10*E8</f>
        <v>315.47654980458259</v>
      </c>
      <c r="F12" s="23">
        <f>F10*F8</f>
        <v>1927.0868327201485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5325</v>
      </c>
      <c r="C28" s="36"/>
      <c r="D28" s="228"/>
    </row>
    <row r="29" spans="1:7" s="15" customFormat="1">
      <c r="A29" s="230" t="s">
        <v>741</v>
      </c>
      <c r="B29" s="37">
        <f>SUM(HH_hh_gas_aantal,HH_rest_gas_aantal)</f>
        <v>4150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4150</v>
      </c>
      <c r="C32" s="167">
        <f>IF(ISERROR(B32/SUM($B$32,$B$34,$B$35,$B$36,$B$38,$B$39)*100),0,B32/SUM($B$32,$B$34,$B$35,$B$36,$B$38,$B$39)*100)</f>
        <v>78.066215199398044</v>
      </c>
      <c r="D32" s="233"/>
      <c r="G32" s="15"/>
    </row>
    <row r="33" spans="1:7">
      <c r="A33" s="171" t="s">
        <v>72</v>
      </c>
      <c r="B33" s="34" t="s">
        <v>111</v>
      </c>
      <c r="C33" s="167"/>
      <c r="D33" s="233"/>
      <c r="G33" s="15"/>
    </row>
    <row r="34" spans="1:7">
      <c r="A34" s="171" t="s">
        <v>73</v>
      </c>
      <c r="B34" s="33">
        <f>IF((($B$28-$B$32-$B$39-$B$77-$B$38)*C20/100)&lt;0,0,($B$28-$B$32-$B$39-$B$77-$B$38)*C20/100)</f>
        <v>93.144664031620536</v>
      </c>
      <c r="C34" s="167">
        <f>IF(ISERROR(B34/SUM($B$32,$B$34,$B$35,$B$36,$B$38,$B$39)*100),0,B34/SUM($B$32,$B$34,$B$35,$B$36,$B$38,$B$39)*100)</f>
        <v>1.7521569607152094</v>
      </c>
      <c r="D34" s="233"/>
      <c r="G34" s="15"/>
    </row>
    <row r="35" spans="1:7">
      <c r="A35" s="171" t="s">
        <v>74</v>
      </c>
      <c r="B35" s="33">
        <f>IF((($B$28-$B$32-$B$39-$B$77-$B$38)*C21/100)&lt;0,0,($B$28-$B$32-$B$39-$B$77-$B$38)*C21/100)</f>
        <v>741.70750988142277</v>
      </c>
      <c r="C35" s="167">
        <f>IF(ISERROR(B35/SUM($B$32,$B$34,$B$35,$B$36,$B$38,$B$39)*100),0,B35/SUM($B$32,$B$34,$B$35,$B$36,$B$38,$B$39)*100)</f>
        <v>13.952360983472964</v>
      </c>
      <c r="D35" s="233"/>
      <c r="G35" s="15"/>
    </row>
    <row r="36" spans="1:7">
      <c r="A36" s="171" t="s">
        <v>75</v>
      </c>
      <c r="B36" s="33">
        <f>IF((($B$28-$B$32-$B$39-$B$77-$B$38)*C22/100)&lt;0,0,($B$28-$B$32-$B$39-$B$77-$B$38)*C22/100)</f>
        <v>37.947826086956518</v>
      </c>
      <c r="C36" s="167">
        <f>IF(ISERROR(B36/SUM($B$32,$B$34,$B$35,$B$36,$B$38,$B$39)*100),0,B36/SUM($B$32,$B$34,$B$35,$B$36,$B$38,$B$39)*100)</f>
        <v>0.71384172473582619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293.20000000000005</v>
      </c>
      <c r="C39" s="167">
        <f>IF(ISERROR(B39/SUM($B$32,$B$34,$B$35,$B$36,$B$38,$B$39)*100),0,B39/SUM($B$32,$B$34,$B$35,$B$36,$B$38,$B$39)*100)</f>
        <v>5.5154251316779543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4150</v>
      </c>
      <c r="C44" s="34" t="s">
        <v>111</v>
      </c>
      <c r="D44" s="174"/>
    </row>
    <row r="45" spans="1:7">
      <c r="A45" s="171" t="s">
        <v>72</v>
      </c>
      <c r="B45" s="33" t="str">
        <f t="shared" si="0"/>
        <v>-</v>
      </c>
      <c r="C45" s="34" t="s">
        <v>111</v>
      </c>
      <c r="D45" s="174"/>
    </row>
    <row r="46" spans="1:7">
      <c r="A46" s="171" t="s">
        <v>73</v>
      </c>
      <c r="B46" s="33">
        <f t="shared" si="0"/>
        <v>93.144664031620536</v>
      </c>
      <c r="C46" s="34" t="s">
        <v>111</v>
      </c>
      <c r="D46" s="174"/>
    </row>
    <row r="47" spans="1:7">
      <c r="A47" s="171" t="s">
        <v>74</v>
      </c>
      <c r="B47" s="33">
        <f t="shared" si="0"/>
        <v>741.70750988142277</v>
      </c>
      <c r="C47" s="34" t="s">
        <v>111</v>
      </c>
      <c r="D47" s="174"/>
    </row>
    <row r="48" spans="1:7">
      <c r="A48" s="171" t="s">
        <v>75</v>
      </c>
      <c r="B48" s="33">
        <f t="shared" si="0"/>
        <v>37.947826086956518</v>
      </c>
      <c r="C48" s="33">
        <f>B48*10</f>
        <v>379.47826086956519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293.20000000000005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8118.0348599999998</v>
      </c>
      <c r="C5" s="17">
        <f>IF(ISERROR('Eigen informatie GS &amp; warmtenet'!B58),0,'Eigen informatie GS &amp; warmtenet'!B58)</f>
        <v>0</v>
      </c>
      <c r="D5" s="30">
        <f>SUM(D6:D12)</f>
        <v>15538.158065322026</v>
      </c>
      <c r="E5" s="17">
        <f>SUM(E6:E12)</f>
        <v>66.963549328564511</v>
      </c>
      <c r="F5" s="17">
        <f>SUM(F6:F12)</f>
        <v>1153.4821480524909</v>
      </c>
      <c r="G5" s="18"/>
      <c r="H5" s="17"/>
      <c r="I5" s="17"/>
      <c r="J5" s="17">
        <f>SUM(J6:J12)</f>
        <v>0</v>
      </c>
      <c r="K5" s="17"/>
      <c r="L5" s="17"/>
      <c r="M5" s="17"/>
      <c r="N5" s="17">
        <f>SUM(N6:N12)</f>
        <v>750.81714097373469</v>
      </c>
      <c r="O5" s="17">
        <f>B38*B39*B40</f>
        <v>0</v>
      </c>
      <c r="P5" s="17">
        <f>B46*B47*B48/1000-B46*B47*B48/1000/B49</f>
        <v>0</v>
      </c>
      <c r="R5" s="32"/>
    </row>
    <row r="6" spans="1:18">
      <c r="A6" s="32" t="s">
        <v>54</v>
      </c>
      <c r="B6" s="37">
        <f>B26</f>
        <v>2427.2489999999998</v>
      </c>
      <c r="C6" s="33"/>
      <c r="D6" s="37">
        <f>IF(ISERROR(TER_kantoor_gas_kWh/1000),0,TER_kantoor_gas_kWh/1000)*0.902</f>
        <v>4502.0926003963905</v>
      </c>
      <c r="E6" s="33">
        <f>$C$26*'E Balans VL '!I12/100/3.6*1000000</f>
        <v>7.0320964809246052</v>
      </c>
      <c r="F6" s="33">
        <f>$C$26*('E Balans VL '!L12+'E Balans VL '!N12)/100/3.6*1000000</f>
        <v>274.71111035837612</v>
      </c>
      <c r="G6" s="34"/>
      <c r="H6" s="33"/>
      <c r="I6" s="33"/>
      <c r="J6" s="33">
        <f>$C$26*('E Balans VL '!D12+'E Balans VL '!E12)/100/3.6*1000000</f>
        <v>0</v>
      </c>
      <c r="K6" s="33"/>
      <c r="L6" s="33"/>
      <c r="M6" s="33"/>
      <c r="N6" s="33">
        <f>$C$26*'E Balans VL '!Y12/100/3.6*1000000</f>
        <v>24.294974013083515</v>
      </c>
      <c r="O6" s="33"/>
      <c r="P6" s="33"/>
      <c r="R6" s="32"/>
    </row>
    <row r="7" spans="1:18">
      <c r="A7" s="32" t="s">
        <v>53</v>
      </c>
      <c r="B7" s="37">
        <f t="shared" ref="B7:B12" si="0">B27</f>
        <v>389.50670000000002</v>
      </c>
      <c r="C7" s="33"/>
      <c r="D7" s="37">
        <f>IF(ISERROR(TER_horeca_gas_kWh/1000),0,TER_horeca_gas_kWh/1000)*0.902</f>
        <v>775.68827131078194</v>
      </c>
      <c r="E7" s="33">
        <f>$C$27*'E Balans VL '!I9/100/3.6*1000000</f>
        <v>16.350403005788394</v>
      </c>
      <c r="F7" s="33">
        <f>$C$27*('E Balans VL '!L9+'E Balans VL '!N9)/100/3.6*1000000</f>
        <v>83.693502082178</v>
      </c>
      <c r="G7" s="34"/>
      <c r="H7" s="33"/>
      <c r="I7" s="33"/>
      <c r="J7" s="33">
        <f>$C$27*('E Balans VL '!D9+'E Balans VL '!E9)/100/3.6*1000000</f>
        <v>0</v>
      </c>
      <c r="K7" s="33"/>
      <c r="L7" s="33"/>
      <c r="M7" s="33"/>
      <c r="N7" s="33">
        <f>$C$27*'E Balans VL '!Y9/100/3.6*1000000</f>
        <v>0.10037247023033495</v>
      </c>
      <c r="O7" s="33"/>
      <c r="P7" s="33"/>
      <c r="R7" s="32"/>
    </row>
    <row r="8" spans="1:18">
      <c r="A8" s="6" t="s">
        <v>52</v>
      </c>
      <c r="B8" s="37">
        <f t="shared" si="0"/>
        <v>1859.306</v>
      </c>
      <c r="C8" s="33"/>
      <c r="D8" s="37">
        <f>IF(ISERROR(TER_handel_gas_kWh/1000),0,TER_handel_gas_kWh/1000)*0.902</f>
        <v>836.34851299217564</v>
      </c>
      <c r="E8" s="33">
        <f>$C$28*'E Balans VL '!I13/100/3.6*1000000</f>
        <v>19.970493896394888</v>
      </c>
      <c r="F8" s="33">
        <f>$C$28*('E Balans VL '!L13+'E Balans VL '!N13)/100/3.6*1000000</f>
        <v>240.7025155324319</v>
      </c>
      <c r="G8" s="34"/>
      <c r="H8" s="33"/>
      <c r="I8" s="33"/>
      <c r="J8" s="33">
        <f>$C$28*('E Balans VL '!D13+'E Balans VL '!E13)/100/3.6*1000000</f>
        <v>0</v>
      </c>
      <c r="K8" s="33"/>
      <c r="L8" s="33"/>
      <c r="M8" s="33"/>
      <c r="N8" s="33">
        <f>$C$28*'E Balans VL '!Y13/100/3.6*1000000</f>
        <v>15.08279179452175</v>
      </c>
      <c r="O8" s="33"/>
      <c r="P8" s="33"/>
      <c r="R8" s="32"/>
    </row>
    <row r="9" spans="1:18">
      <c r="A9" s="32" t="s">
        <v>51</v>
      </c>
      <c r="B9" s="37">
        <f t="shared" si="0"/>
        <v>397.48200000000003</v>
      </c>
      <c r="C9" s="33"/>
      <c r="D9" s="37">
        <f>IF(ISERROR(TER_gezond_gas_kWh/1000),0,TER_gezond_gas_kWh/1000)*0.902</f>
        <v>486.79384502869664</v>
      </c>
      <c r="E9" s="33">
        <f>$C$29*'E Balans VL '!I10/100/3.6*1000000</f>
        <v>0.31642138044701035</v>
      </c>
      <c r="F9" s="33">
        <f>$C$29*('E Balans VL '!L10+'E Balans VL '!N10)/100/3.6*1000000</f>
        <v>48.319681232276324</v>
      </c>
      <c r="G9" s="34"/>
      <c r="H9" s="33"/>
      <c r="I9" s="33"/>
      <c r="J9" s="33">
        <f>$C$29*('E Balans VL '!D10+'E Balans VL '!E10)/100/3.6*1000000</f>
        <v>0</v>
      </c>
      <c r="K9" s="33"/>
      <c r="L9" s="33"/>
      <c r="M9" s="33"/>
      <c r="N9" s="33">
        <f>$C$29*'E Balans VL '!Y10/100/3.6*1000000</f>
        <v>3.2107542900630905</v>
      </c>
      <c r="O9" s="33"/>
      <c r="P9" s="33"/>
      <c r="R9" s="32"/>
    </row>
    <row r="10" spans="1:18">
      <c r="A10" s="32" t="s">
        <v>50</v>
      </c>
      <c r="B10" s="37">
        <f t="shared" si="0"/>
        <v>726.83709999999996</v>
      </c>
      <c r="C10" s="33"/>
      <c r="D10" s="37">
        <f>IF(ISERROR(TER_ander_gas_kWh/1000),0,TER_ander_gas_kWh/1000)*0.902</f>
        <v>2464.3555798138264</v>
      </c>
      <c r="E10" s="33">
        <f>$C$30*'E Balans VL '!I14/100/3.6*1000000</f>
        <v>2.4909089248266936</v>
      </c>
      <c r="F10" s="33">
        <f>$C$30*('E Balans VL '!L14+'E Balans VL '!N14)/100/3.6*1000000</f>
        <v>162.34587295939696</v>
      </c>
      <c r="G10" s="34"/>
      <c r="H10" s="33"/>
      <c r="I10" s="33"/>
      <c r="J10" s="33">
        <f>$C$30*('E Balans VL '!D14+'E Balans VL '!E14)/100/3.6*1000000</f>
        <v>0</v>
      </c>
      <c r="K10" s="33"/>
      <c r="L10" s="33"/>
      <c r="M10" s="33"/>
      <c r="N10" s="33">
        <f>$C$30*'E Balans VL '!Y14/100/3.6*1000000</f>
        <v>511.98802387346223</v>
      </c>
      <c r="O10" s="33"/>
      <c r="P10" s="33"/>
      <c r="R10" s="32"/>
    </row>
    <row r="11" spans="1:18">
      <c r="A11" s="32" t="s">
        <v>55</v>
      </c>
      <c r="B11" s="37">
        <f t="shared" si="0"/>
        <v>18.088060000000002</v>
      </c>
      <c r="C11" s="33"/>
      <c r="D11" s="37">
        <f>IF(ISERROR(TER_onderwijs_gas_kWh/1000),0,TER_onderwijs_gas_kWh/1000)*0.902</f>
        <v>1561.0936440446869</v>
      </c>
      <c r="E11" s="33">
        <f>$C$31*'E Balans VL '!I11/100/3.6*1000000</f>
        <v>1.2503718809593979E-2</v>
      </c>
      <c r="F11" s="33">
        <f>$C$31*('E Balans VL '!L11+'E Balans VL '!N11)/100/3.6*1000000</f>
        <v>4.7349286855077732</v>
      </c>
      <c r="G11" s="34"/>
      <c r="H11" s="33"/>
      <c r="I11" s="33"/>
      <c r="J11" s="33">
        <f>$C$31*('E Balans VL '!D11+'E Balans VL '!E11)/100/3.6*1000000</f>
        <v>0</v>
      </c>
      <c r="K11" s="33"/>
      <c r="L11" s="33"/>
      <c r="M11" s="33"/>
      <c r="N11" s="33">
        <f>$C$31*'E Balans VL '!Y11/100/3.6*1000000</f>
        <v>1.8005123109230352E-2</v>
      </c>
      <c r="O11" s="33"/>
      <c r="P11" s="33"/>
      <c r="R11" s="32"/>
    </row>
    <row r="12" spans="1:18">
      <c r="A12" s="32" t="s">
        <v>260</v>
      </c>
      <c r="B12" s="37">
        <f t="shared" si="0"/>
        <v>2299.5659999999998</v>
      </c>
      <c r="C12" s="33"/>
      <c r="D12" s="37">
        <f>IF(ISERROR(TER_rest_gas_kWh/1000),0,TER_rest_gas_kWh/1000)*0.902</f>
        <v>4911.7856117354686</v>
      </c>
      <c r="E12" s="33">
        <f>$C$32*'E Balans VL '!I8/100/3.6*1000000</f>
        <v>20.790721921373322</v>
      </c>
      <c r="F12" s="33">
        <f>$C$32*('E Balans VL '!L8+'E Balans VL '!N8)/100/3.6*1000000</f>
        <v>338.97453720232375</v>
      </c>
      <c r="G12" s="34"/>
      <c r="H12" s="33"/>
      <c r="I12" s="33"/>
      <c r="J12" s="33">
        <f>$C$32*('E Balans VL '!D8+'E Balans VL '!E8)/100/3.6*1000000</f>
        <v>0</v>
      </c>
      <c r="K12" s="33"/>
      <c r="L12" s="33"/>
      <c r="M12" s="33"/>
      <c r="N12" s="33">
        <f>$C$32*'E Balans VL '!Y8/100/3.6*1000000</f>
        <v>196.12221940926449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8118.0348599999998</v>
      </c>
      <c r="C16" s="21">
        <f t="shared" ca="1" si="1"/>
        <v>0</v>
      </c>
      <c r="D16" s="21">
        <f t="shared" ca="1" si="1"/>
        <v>15538.158065322026</v>
      </c>
      <c r="E16" s="21">
        <f t="shared" si="1"/>
        <v>66.963549328564511</v>
      </c>
      <c r="F16" s="21">
        <f t="shared" ca="1" si="1"/>
        <v>1153.4821480524909</v>
      </c>
      <c r="G16" s="21">
        <f t="shared" si="1"/>
        <v>0</v>
      </c>
      <c r="H16" s="21">
        <f t="shared" si="1"/>
        <v>0</v>
      </c>
      <c r="I16" s="21">
        <f t="shared" si="1"/>
        <v>0</v>
      </c>
      <c r="J16" s="21">
        <f t="shared" si="1"/>
        <v>0</v>
      </c>
      <c r="K16" s="21">
        <f t="shared" si="1"/>
        <v>0</v>
      </c>
      <c r="L16" s="21">
        <f t="shared" ca="1" si="1"/>
        <v>0</v>
      </c>
      <c r="M16" s="21">
        <f t="shared" si="1"/>
        <v>0</v>
      </c>
      <c r="N16" s="21">
        <f t="shared" ca="1" si="1"/>
        <v>750.81714097373469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0.21613702593062953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1754.6079110415744</v>
      </c>
      <c r="C20" s="23">
        <f t="shared" ref="C20:P20" ca="1" si="2">C16*C18</f>
        <v>0</v>
      </c>
      <c r="D20" s="23">
        <f t="shared" ca="1" si="2"/>
        <v>3138.7079291950495</v>
      </c>
      <c r="E20" s="23">
        <f t="shared" si="2"/>
        <v>15.200725697584145</v>
      </c>
      <c r="F20" s="23">
        <f t="shared" ca="1" si="2"/>
        <v>307.9797335300151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2427.2489999999998</v>
      </c>
      <c r="C26" s="39">
        <f>IF(ISERROR(B26*3.6/1000000/'E Balans VL '!Z12*100),0,B26*3.6/1000000/'E Balans VL '!Z12*100)</f>
        <v>5.3317330465847225E-2</v>
      </c>
      <c r="D26" s="237" t="s">
        <v>692</v>
      </c>
      <c r="F26" s="6"/>
    </row>
    <row r="27" spans="1:18">
      <c r="A27" s="231" t="s">
        <v>53</v>
      </c>
      <c r="B27" s="33">
        <f>IF(ISERROR(TER_horeca_ele_kWh/1000),0,TER_horeca_ele_kWh/1000)</f>
        <v>389.50670000000002</v>
      </c>
      <c r="C27" s="39">
        <f>IF(ISERROR(B27*3.6/1000000/'E Balans VL '!Z9*100),0,B27*3.6/1000000/'E Balans VL '!Z9*100)</f>
        <v>3.1300745993643873E-2</v>
      </c>
      <c r="D27" s="237" t="s">
        <v>692</v>
      </c>
      <c r="F27" s="6"/>
    </row>
    <row r="28" spans="1:18">
      <c r="A28" s="171" t="s">
        <v>52</v>
      </c>
      <c r="B28" s="33">
        <f>IF(ISERROR(TER_handel_ele_kWh/1000),0,TER_handel_ele_kWh/1000)</f>
        <v>1859.306</v>
      </c>
      <c r="C28" s="39">
        <f>IF(ISERROR(B28*3.6/1000000/'E Balans VL '!Z13*100),0,B28*3.6/1000000/'E Balans VL '!Z13*100)</f>
        <v>5.4978379481555144E-2</v>
      </c>
      <c r="D28" s="237" t="s">
        <v>692</v>
      </c>
      <c r="F28" s="6"/>
    </row>
    <row r="29" spans="1:18">
      <c r="A29" s="231" t="s">
        <v>51</v>
      </c>
      <c r="B29" s="33">
        <f>IF(ISERROR(TER_gezond_ele_kWh/1000),0,TER_gezond_ele_kWh/1000)</f>
        <v>397.48200000000003</v>
      </c>
      <c r="C29" s="39">
        <f>IF(ISERROR(B29*3.6/1000000/'E Balans VL '!Z10*100),0,B29*3.6/1000000/'E Balans VL '!Z10*100)</f>
        <v>4.4785959319364702E-2</v>
      </c>
      <c r="D29" s="237" t="s">
        <v>692</v>
      </c>
      <c r="F29" s="6"/>
    </row>
    <row r="30" spans="1:18">
      <c r="A30" s="231" t="s">
        <v>50</v>
      </c>
      <c r="B30" s="33">
        <f>IF(ISERROR(TER_ander_ele_kWh/1000),0,TER_ander_ele_kWh/1000)</f>
        <v>726.83709999999996</v>
      </c>
      <c r="C30" s="39">
        <f>IF(ISERROR(B30*3.6/1000000/'E Balans VL '!Z14*100),0,B30*3.6/1000000/'E Balans VL '!Z14*100)</f>
        <v>5.4969447401100081E-2</v>
      </c>
      <c r="D30" s="237" t="s">
        <v>692</v>
      </c>
      <c r="F30" s="6"/>
    </row>
    <row r="31" spans="1:18">
      <c r="A31" s="231" t="s">
        <v>55</v>
      </c>
      <c r="B31" s="33">
        <f>IF(ISERROR(TER_onderwijs_ele_kWh/1000),0,TER_onderwijs_ele_kWh/1000)</f>
        <v>18.088060000000002</v>
      </c>
      <c r="C31" s="39">
        <f>IF(ISERROR(B31*3.6/1000000/'E Balans VL '!Z11*100),0,B31*3.6/1000000/'E Balans VL '!Z11*100)</f>
        <v>3.7546613597134269E-3</v>
      </c>
      <c r="D31" s="237" t="s">
        <v>692</v>
      </c>
    </row>
    <row r="32" spans="1:18">
      <c r="A32" s="231" t="s">
        <v>260</v>
      </c>
      <c r="B32" s="33">
        <f>IF(ISERROR(TER_rest_ele_kWh/1000),0,TER_rest_ele_kWh/1000)</f>
        <v>2299.5659999999998</v>
      </c>
      <c r="C32" s="39">
        <f>IF(ISERROR(B32*3.6/1000000/'E Balans VL '!Z8*100),0,B32*3.6/1000000/'E Balans VL '!Z8*100)</f>
        <v>1.9372490761133912E-2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356.92433</v>
      </c>
      <c r="C5" s="17">
        <f>IF(ISERROR('Eigen informatie GS &amp; warmtenet'!B59),0,'Eigen informatie GS &amp; warmtenet'!B59)</f>
        <v>0</v>
      </c>
      <c r="D5" s="30">
        <f>SUM(D6:D15)</f>
        <v>826.33650455775773</v>
      </c>
      <c r="E5" s="17">
        <f>SUM(E6:E15)</f>
        <v>48.788236890338489</v>
      </c>
      <c r="F5" s="17">
        <f>SUM(F6:F15)</f>
        <v>231.51569008231834</v>
      </c>
      <c r="G5" s="18"/>
      <c r="H5" s="17"/>
      <c r="I5" s="17"/>
      <c r="J5" s="17">
        <f>SUM(J6:J15)</f>
        <v>1.3571913220826679</v>
      </c>
      <c r="K5" s="17"/>
      <c r="L5" s="17"/>
      <c r="M5" s="17"/>
      <c r="N5" s="17">
        <f>SUM(N6:N15)</f>
        <v>90.666219007331449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57.00873</v>
      </c>
      <c r="C8" s="33"/>
      <c r="D8" s="37">
        <f>IF( ISERROR(IND_metaal_Gas_kWH/1000),0,IND_metaal_Gas_kWH/1000)*0.902</f>
        <v>0</v>
      </c>
      <c r="E8" s="33">
        <f>C30*'E Balans VL '!I18/100/3.6*1000000</f>
        <v>1.4267289856195715</v>
      </c>
      <c r="F8" s="33">
        <f>C30*'E Balans VL '!L18/100/3.6*1000000+C30*'E Balans VL '!N18/100/3.6*1000000</f>
        <v>17.86681955800675</v>
      </c>
      <c r="G8" s="34"/>
      <c r="H8" s="33"/>
      <c r="I8" s="33"/>
      <c r="J8" s="40">
        <f>C30*'E Balans VL '!D18/100/3.6*1000000+C30*'E Balans VL '!E18/100/3.6*1000000</f>
        <v>0</v>
      </c>
      <c r="K8" s="33"/>
      <c r="L8" s="33"/>
      <c r="M8" s="33"/>
      <c r="N8" s="33">
        <f>C30*'E Balans VL '!Y18/100/3.6*1000000</f>
        <v>1.4322072481557377</v>
      </c>
      <c r="O8" s="33"/>
      <c r="P8" s="33"/>
      <c r="R8" s="32"/>
    </row>
    <row r="9" spans="1:18">
      <c r="A9" s="6" t="s">
        <v>33</v>
      </c>
      <c r="B9" s="37">
        <f t="shared" si="0"/>
        <v>149.96220000000002</v>
      </c>
      <c r="C9" s="33"/>
      <c r="D9" s="37">
        <f>IF( ISERROR(IND_andere_gas_kWh/1000),0,IND_andere_gas_kWh/1000)*0.902</f>
        <v>374.80850803539482</v>
      </c>
      <c r="E9" s="33">
        <f>C31*'E Balans VL '!I19/100/3.6*1000000</f>
        <v>41.233454292029982</v>
      </c>
      <c r="F9" s="33">
        <f>C31*'E Balans VL '!L19/100/3.6*1000000+C31*'E Balans VL '!N19/100/3.6*1000000</f>
        <v>118.19630889638906</v>
      </c>
      <c r="G9" s="34"/>
      <c r="H9" s="33"/>
      <c r="I9" s="33"/>
      <c r="J9" s="40">
        <f>C31*'E Balans VL '!D19/100/3.6*1000000+C31*'E Balans VL '!E19/100/3.6*1000000</f>
        <v>0</v>
      </c>
      <c r="K9" s="33"/>
      <c r="L9" s="33"/>
      <c r="M9" s="33"/>
      <c r="N9" s="33">
        <f>C31*'E Balans VL '!Y19/100/3.6*1000000</f>
        <v>48.546722479694822</v>
      </c>
      <c r="O9" s="33"/>
      <c r="P9" s="33"/>
      <c r="R9" s="32"/>
    </row>
    <row r="10" spans="1:18">
      <c r="A10" s="6" t="s">
        <v>41</v>
      </c>
      <c r="B10" s="37">
        <f t="shared" si="0"/>
        <v>36.887699999999995</v>
      </c>
      <c r="C10" s="33"/>
      <c r="D10" s="37">
        <f>IF( ISERROR(IND_voed_gas_kWh/1000),0,IND_voed_gas_kWh/1000)*0.902</f>
        <v>0</v>
      </c>
      <c r="E10" s="33">
        <f>C32*'E Balans VL '!I20/100/3.6*1000000</f>
        <v>0.37604977995011474</v>
      </c>
      <c r="F10" s="33">
        <f>C32*'E Balans VL '!L20/100/3.6*1000000+C32*'E Balans VL '!N20/100/3.6*1000000</f>
        <v>69.680634589707168</v>
      </c>
      <c r="G10" s="34"/>
      <c r="H10" s="33"/>
      <c r="I10" s="33"/>
      <c r="J10" s="40">
        <f>C32*'E Balans VL '!D20/100/3.6*1000000+C32*'E Balans VL '!E20/100/3.6*1000000</f>
        <v>0.88284335810084358</v>
      </c>
      <c r="K10" s="33"/>
      <c r="L10" s="33"/>
      <c r="M10" s="33"/>
      <c r="N10" s="33">
        <f>C32*'E Balans VL '!Y20/100/3.6*1000000</f>
        <v>19.444066842019573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113.06569999999999</v>
      </c>
      <c r="C15" s="33"/>
      <c r="D15" s="37">
        <f>IF( ISERROR(IND_rest_gas_kWh/1000),0,IND_rest_gas_kWh/1000)*0.902</f>
        <v>451.52799652236286</v>
      </c>
      <c r="E15" s="33">
        <f>C37*'E Balans VL '!I15/100/3.6*1000000</f>
        <v>5.7520038327388194</v>
      </c>
      <c r="F15" s="33">
        <f>C37*'E Balans VL '!L15/100/3.6*1000000+C37*'E Balans VL '!N15/100/3.6*1000000</f>
        <v>25.77192703821536</v>
      </c>
      <c r="G15" s="34"/>
      <c r="H15" s="33"/>
      <c r="I15" s="33"/>
      <c r="J15" s="40">
        <f>C37*'E Balans VL '!D15/100/3.6*1000000+C37*'E Balans VL '!E15/100/3.6*1000000</f>
        <v>0.47434796398182422</v>
      </c>
      <c r="K15" s="33"/>
      <c r="L15" s="33"/>
      <c r="M15" s="33"/>
      <c r="N15" s="33">
        <f>C37*'E Balans VL '!Y15/100/3.6*1000000</f>
        <v>21.24322243746132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356.92433</v>
      </c>
      <c r="C18" s="21">
        <f>C5+C16</f>
        <v>0</v>
      </c>
      <c r="D18" s="21">
        <f>MAX((D5+D16),0)</f>
        <v>826.33650455775773</v>
      </c>
      <c r="E18" s="21">
        <f>MAX((E5+E16),0)</f>
        <v>48.788236890338489</v>
      </c>
      <c r="F18" s="21">
        <f>MAX((F5+F16),0)</f>
        <v>231.51569008231834</v>
      </c>
      <c r="G18" s="21"/>
      <c r="H18" s="21"/>
      <c r="I18" s="21"/>
      <c r="J18" s="21">
        <f>MAX((J5+J16),0)</f>
        <v>1.3571913220826679</v>
      </c>
      <c r="K18" s="21"/>
      <c r="L18" s="21">
        <f>MAX((L5+L16),0)</f>
        <v>0</v>
      </c>
      <c r="M18" s="21"/>
      <c r="N18" s="21">
        <f>MAX((N5+N16),0)</f>
        <v>90.666219007331449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0.21613702593062953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77.144563168482577</v>
      </c>
      <c r="C22" s="23">
        <f ca="1">C18*C20</f>
        <v>0</v>
      </c>
      <c r="D22" s="23">
        <f>D18*D20</f>
        <v>166.91997392066708</v>
      </c>
      <c r="E22" s="23">
        <f>E18*E20</f>
        <v>11.074929774106836</v>
      </c>
      <c r="F22" s="23">
        <f>F18*F20</f>
        <v>61.814689251979004</v>
      </c>
      <c r="G22" s="23"/>
      <c r="H22" s="23"/>
      <c r="I22" s="23"/>
      <c r="J22" s="23">
        <f>J18*J20</f>
        <v>0.48044572801726443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57.00873</v>
      </c>
      <c r="C30" s="39">
        <f>IF(ISERROR(B30*3.6/1000000/'E Balans VL '!Z18*100),0,B30*3.6/1000000/'E Balans VL '!Z18*100)</f>
        <v>7.9793223630846705E-3</v>
      </c>
      <c r="D30" s="237" t="s">
        <v>692</v>
      </c>
    </row>
    <row r="31" spans="1:18">
      <c r="A31" s="6" t="s">
        <v>33</v>
      </c>
      <c r="B31" s="37">
        <f>IF( ISERROR(IND_ander_ele_kWh/1000),0,IND_ander_ele_kWh/1000)</f>
        <v>149.96220000000002</v>
      </c>
      <c r="C31" s="39">
        <f>IF(ISERROR(B31*3.6/1000000/'E Balans VL '!Z19*100),0,B31*3.6/1000000/'E Balans VL '!Z19*100)</f>
        <v>6.5638211666748728E-3</v>
      </c>
      <c r="D31" s="237" t="s">
        <v>692</v>
      </c>
    </row>
    <row r="32" spans="1:18">
      <c r="A32" s="171" t="s">
        <v>41</v>
      </c>
      <c r="B32" s="37">
        <f>IF( ISERROR(IND_voed_ele_kWh/1000),0,IND_voed_ele_kWh/1000)</f>
        <v>36.887699999999995</v>
      </c>
      <c r="C32" s="39">
        <f>IF(ISERROR(B32*3.6/1000000/'E Balans VL '!Z20*100),0,B32*3.6/1000000/'E Balans VL '!Z20*100)</f>
        <v>9.1321695399057302E-3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113.06569999999999</v>
      </c>
      <c r="C37" s="39">
        <f>IF(ISERROR(B37*3.6/1000000/'E Balans VL '!Z15*100),0,B37*3.6/1000000/'E Balans VL '!Z15*100)</f>
        <v>8.3836280783301223E-4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51.406999999999996</v>
      </c>
      <c r="C5" s="17">
        <f>'Eigen informatie GS &amp; warmtenet'!B60</f>
        <v>0</v>
      </c>
      <c r="D5" s="30">
        <f>IF(ISERROR(SUM(LB_lb_gas_kWh,LB_rest_gas_kWh,onbekend_gas_kWh)/1000),0,SUM(LB_lb_gas_kWh,LB_rest_gas_kWh,onbekend_gas_kWh)/1000)*0.902</f>
        <v>2478.8088573816667</v>
      </c>
      <c r="E5" s="17">
        <f>B17*'E Balans VL '!I25/3.6*1000000/100</f>
        <v>0.47615316523079221</v>
      </c>
      <c r="F5" s="17">
        <f>B17*('E Balans VL '!L25/3.6*1000000+'E Balans VL '!N25/3.6*1000000)/100</f>
        <v>130.42935202345021</v>
      </c>
      <c r="G5" s="18"/>
      <c r="H5" s="17"/>
      <c r="I5" s="17"/>
      <c r="J5" s="17">
        <f>('E Balans VL '!D25+'E Balans VL '!E25)/3.6*1000000*landbouw!B17/100</f>
        <v>7.8812668037944107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51.406999999999996</v>
      </c>
      <c r="C8" s="21">
        <f>C5+C6</f>
        <v>0</v>
      </c>
      <c r="D8" s="21">
        <f>MAX((D5+D6),0)</f>
        <v>2478.8088573816667</v>
      </c>
      <c r="E8" s="21">
        <f>MAX((E5+E6),0)</f>
        <v>0.47615316523079221</v>
      </c>
      <c r="F8" s="21">
        <f>MAX((F5+F6),0)</f>
        <v>130.42935202345021</v>
      </c>
      <c r="G8" s="21"/>
      <c r="H8" s="21"/>
      <c r="I8" s="21"/>
      <c r="J8" s="21">
        <f>MAX((J5+J6),0)</f>
        <v>7.8812668037944107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0.21613702593062953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11.110956092015872</v>
      </c>
      <c r="C12" s="23">
        <f ca="1">C8*C10</f>
        <v>0</v>
      </c>
      <c r="D12" s="23">
        <f>D8*D10</f>
        <v>500.7193891910967</v>
      </c>
      <c r="E12" s="23">
        <f>E8*E10</f>
        <v>0.10808676850738984</v>
      </c>
      <c r="F12" s="23">
        <f>F8*F10</f>
        <v>34.824636990261205</v>
      </c>
      <c r="G12" s="23"/>
      <c r="H12" s="23"/>
      <c r="I12" s="23"/>
      <c r="J12" s="23">
        <f>J8*J10</f>
        <v>2.7899684485432212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7.3089853831916091E-3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1.1599999999999999</v>
      </c>
      <c r="C26" s="247">
        <f>B26*'GWP N2O_CH4'!B5</f>
        <v>24.36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9.5500000000000015E-2</v>
      </c>
      <c r="C27" s="247">
        <f>B27*'GWP N2O_CH4'!B5</f>
        <v>2.0055000000000005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5.7858198054162348E-3</v>
      </c>
      <c r="C28" s="247">
        <f>B28*'GWP N2O_CH4'!B4</f>
        <v>1.7936041396790328</v>
      </c>
      <c r="D28" s="50"/>
    </row>
    <row r="29" spans="1:4">
      <c r="A29" s="41" t="s">
        <v>277</v>
      </c>
      <c r="B29" s="247">
        <f>B34*'ha_N2O bodem landbouw'!B4</f>
        <v>0.64211935331616965</v>
      </c>
      <c r="C29" s="247">
        <f>B29*'GWP N2O_CH4'!B4</f>
        <v>199.0569995280126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1.4401605853287723E-4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5.2236214303469568E-5</v>
      </c>
      <c r="C5" s="464" t="s">
        <v>211</v>
      </c>
      <c r="D5" s="449">
        <f>SUM(D6:D11)</f>
        <v>1.3786609744465553E-4</v>
      </c>
      <c r="E5" s="449">
        <f>SUM(E6:E11)</f>
        <v>1.025993759594359E-3</v>
      </c>
      <c r="F5" s="462" t="s">
        <v>211</v>
      </c>
      <c r="G5" s="449">
        <f>SUM(G6:G11)</f>
        <v>0.27521490316718555</v>
      </c>
      <c r="H5" s="449">
        <f>SUM(H6:H11)</f>
        <v>5.3645777300273229E-2</v>
      </c>
      <c r="I5" s="464" t="s">
        <v>211</v>
      </c>
      <c r="J5" s="464" t="s">
        <v>211</v>
      </c>
      <c r="K5" s="464" t="s">
        <v>211</v>
      </c>
      <c r="L5" s="464" t="s">
        <v>211</v>
      </c>
      <c r="M5" s="449">
        <f>SUM(M6:M11)</f>
        <v>1.7571348332317386E-2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8.2203724487307134E-6</v>
      </c>
      <c r="C6" s="450"/>
      <c r="D6" s="963">
        <f>vkm_2011_GW_PW*SUMIFS(TableVerdeelsleutelVkm[CNG],TableVerdeelsleutelVkm[Voertuigtype],"Lichte voertuigen")*SUMIFS(TableECFTransport[EnergieConsumptieFactor (PJ per km)],TableECFTransport[Index],CONCATENATE($A6,"_CNG_CNG"))</f>
        <v>1.9014626499430342E-5</v>
      </c>
      <c r="E6" s="963">
        <f>vkm_2011_GW_PW*SUMIFS(TableVerdeelsleutelVkm[LPG],TableVerdeelsleutelVkm[Voertuigtype],"Lichte voertuigen")*SUMIFS(TableECFTransport[EnergieConsumptieFactor (PJ per km)],TableECFTransport[Index],CONCATENATE($A6,"_LPG_LPG"))</f>
        <v>1.2381176515298325E-4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2.5720978217675421E-2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7.2502122196668522E-3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1.7110338632953608E-3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4.3284058112930818E-3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1.4802361799509832E-6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2.5042281070085246E-4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7.2630954326139976E-6</v>
      </c>
      <c r="C8" s="450"/>
      <c r="D8" s="452">
        <f>vkm_2011_NGW_PW*SUMIFS(TableVerdeelsleutelVkm[CNG],TableVerdeelsleutelVkm[Voertuigtype],"Lichte voertuigen")*SUMIFS(TableECFTransport[EnergieConsumptieFactor (PJ per km)],TableECFTransport[Index],CONCATENATE($A8,"_CNG_CNG"))</f>
        <v>2.9714890546863663E-5</v>
      </c>
      <c r="E8" s="452">
        <f>vkm_2011_NGW_PW*SUMIFS(TableVerdeelsleutelVkm[LPG],TableVerdeelsleutelVkm[Voertuigtype],"Lichte voertuigen")*SUMIFS(TableECFTransport[EnergieConsumptieFactor (PJ per km)],TableECFTransport[Index],CONCATENATE($A8,"_LPG_LPG"))</f>
        <v>1.7856691553210554E-4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3.4677432670014129E-2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1.0955490627629155E-2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2.3431894944923649E-3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4.6719067794011879E-4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1.5117746122450884E-7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2.7029364329130675E-5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3.6752746422124857E-5</v>
      </c>
      <c r="C10" s="450"/>
      <c r="D10" s="452">
        <f>vkm_2011_SW_PW*SUMIFS(TableVerdeelsleutelVkm[CNG],TableVerdeelsleutelVkm[Voertuigtype],"Lichte voertuigen")*SUMIFS(TableECFTransport[EnergieConsumptieFactor (PJ per km)],TableECFTransport[Index],CONCATENATE($A10,"_CNG_CNG"))</f>
        <v>8.9136580398361514E-5</v>
      </c>
      <c r="E10" s="452">
        <f>vkm_2011_SW_PW*SUMIFS(TableVerdeelsleutelVkm[LPG],TableVerdeelsleutelVkm[Voertuigtype],"Lichte voertuigen")*SUMIFS(TableECFTransport[EnergieConsumptieFactor (PJ per km)],TableECFTransport[Index],CONCATENATE($A10,"_LPG_LPG"))</f>
        <v>7.2361507890927011E-4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0.13533679654306613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3.5410917298731928E-2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8.9187132163016831E-3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7.4684099247196711E-2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2.7525740604118713E-5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4.3209595831979935E-3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14.510059528741547</v>
      </c>
      <c r="C14" s="21"/>
      <c r="D14" s="21">
        <f t="shared" ref="D14:M14" si="0">((D5)*10^9/3600)+D12</f>
        <v>38.296138179070979</v>
      </c>
      <c r="E14" s="21">
        <f t="shared" si="0"/>
        <v>284.99826655398863</v>
      </c>
      <c r="F14" s="21"/>
      <c r="G14" s="21">
        <f t="shared" si="0"/>
        <v>76448.584213107097</v>
      </c>
      <c r="H14" s="21">
        <f t="shared" si="0"/>
        <v>14901.604805631454</v>
      </c>
      <c r="I14" s="21"/>
      <c r="J14" s="21"/>
      <c r="K14" s="21"/>
      <c r="L14" s="21"/>
      <c r="M14" s="21">
        <f t="shared" si="0"/>
        <v>4880.9300923103847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0.21613702593062953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3.1361611126185895</v>
      </c>
      <c r="C18" s="23"/>
      <c r="D18" s="23">
        <f t="shared" ref="D18:M18" si="1">D14*D16</f>
        <v>7.7358199121723379</v>
      </c>
      <c r="E18" s="23">
        <f t="shared" si="1"/>
        <v>64.694606507755424</v>
      </c>
      <c r="F18" s="23"/>
      <c r="G18" s="23">
        <f t="shared" si="1"/>
        <v>20411.771984899595</v>
      </c>
      <c r="H18" s="23">
        <f t="shared" si="1"/>
        <v>3710.499596602232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2.0558531868863123E-3</v>
      </c>
      <c r="H50" s="321">
        <f t="shared" si="2"/>
        <v>0</v>
      </c>
      <c r="I50" s="321">
        <f t="shared" si="2"/>
        <v>0</v>
      </c>
      <c r="J50" s="321">
        <f t="shared" si="2"/>
        <v>0</v>
      </c>
      <c r="K50" s="321">
        <f t="shared" si="2"/>
        <v>0</v>
      </c>
      <c r="L50" s="321">
        <f t="shared" si="2"/>
        <v>0</v>
      </c>
      <c r="M50" s="321">
        <f t="shared" si="2"/>
        <v>1.1723931411233893E-4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2.0558531868863123E-3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1.1723931411233893E-4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571.07032969064232</v>
      </c>
      <c r="H54" s="21">
        <f t="shared" si="3"/>
        <v>0</v>
      </c>
      <c r="I54" s="21">
        <f t="shared" si="3"/>
        <v>0</v>
      </c>
      <c r="J54" s="21">
        <f t="shared" si="3"/>
        <v>0</v>
      </c>
      <c r="K54" s="21">
        <f t="shared" si="3"/>
        <v>0</v>
      </c>
      <c r="L54" s="21">
        <f t="shared" si="3"/>
        <v>0</v>
      </c>
      <c r="M54" s="21">
        <f t="shared" si="3"/>
        <v>32.566476142316368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0.21613702593062953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152.4757780274015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693.85189392534357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693.85189392534357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2018-06-27T09:35:46Z</dcterms:modified>
</cp:coreProperties>
</file>