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B8" i="9"/>
  <c r="L16" i="16"/>
  <c r="L18" s="1"/>
  <c r="F16"/>
  <c r="D13" i="15"/>
  <c r="C13"/>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B34" i="13"/>
  <c r="B46" s="1"/>
  <c r="E5" s="1"/>
  <c r="E8" s="1"/>
  <c r="E12" s="1"/>
  <c r="F37" i="14" s="1"/>
  <c r="I5" i="48"/>
  <c r="I22" s="1"/>
  <c r="I31" s="1"/>
  <c r="N8" i="17"/>
  <c r="O22" i="14" s="1"/>
  <c r="B35" i="13"/>
  <c r="O22" i="16"/>
  <c r="P39" i="14" s="1"/>
  <c r="O18" i="16"/>
  <c r="P13" i="14" s="1"/>
  <c r="B36" i="13"/>
  <c r="G31" i="20"/>
  <c r="H43" i="14" s="1"/>
  <c r="G12" i="22"/>
  <c r="D18" i="16"/>
  <c r="D22" s="1"/>
  <c r="E39" i="14" s="1"/>
  <c r="E8" i="17"/>
  <c r="E7" i="48" s="1"/>
  <c r="E24" s="1"/>
  <c r="H13"/>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41" s="1"/>
  <c r="P53"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C5" i="48"/>
  <c r="E12" i="17" l="1"/>
  <c r="F48" i="14" s="1"/>
  <c r="F22"/>
  <c r="G14" i="22"/>
  <c r="G9" i="48" s="1"/>
  <c r="D8"/>
  <c r="D25" s="1"/>
  <c r="J16" i="15"/>
  <c r="J5" i="48" s="1"/>
  <c r="J22" s="1"/>
  <c r="E20" i="15"/>
  <c r="F36" i="14"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R22" i="14"/>
  <c r="N20"/>
  <c r="N23" s="1"/>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N25" l="1"/>
  <c r="N31" s="1"/>
  <c r="N14"/>
  <c r="N55" i="14"/>
  <c r="E8" i="48"/>
  <c r="F8"/>
  <c r="K41" i="14"/>
  <c r="K53"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E25" l="1"/>
  <c r="E31" s="1"/>
  <c r="E14"/>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<sst xmlns="http://schemas.openxmlformats.org/spreadsheetml/2006/main" count="1950" uniqueCount="834">
  <si>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</si>
  <si>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</si>
  <si>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</si>
  <si>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</si>
  <si>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</si>
  <si>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</si>
  <si>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</si>
  <si>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</si>
  <si>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</si>
  <si>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</si>
  <si>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</si>
  <si>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</si>
  <si>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</si>
  <si>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</si>
  <si>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</si>
  <si>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</si>
  <si>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</si>
  <si>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</si>
  <si>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</si>
  <si>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</si>
  <si>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</si>
  <si>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</si>
  <si>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</si>
  <si>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</si>
  <si>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</si>
  <si>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</si>
  <si>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</si>
  <si>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</si>
  <si>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</si>
  <si>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</si>
  <si>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</si>
  <si>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</si>
  <si>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</si>
  <si>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</si>
  <si>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</si>
  <si>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</si>
  <si>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</si>
  <si>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</si>
  <si>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</si>
  <si>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</si>
  <si>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</si>
  <si>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</si>
  <si>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</si>
  <si>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</si>
  <si>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</si>
  <si>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</si>
  <si>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</si>
  <si>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</si>
  <si>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</si>
  <si>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</si>
  <si>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</si>
  <si>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</si>
  <si>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</si>
  <si>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</si>
  <si>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</si>
  <si>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</si>
  <si>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</si>
  <si>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</si>
  <si>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</si>
  <si>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</si>
  <si>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</si>
  <si>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</si>
  <si>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</si>
  <si>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</si>
  <si>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</si>
  <si>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</si>
  <si>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</si>
  <si>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</si>
  <si>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</si>
  <si>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</si>
  <si>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</si>
  <si>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</si>
  <si>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</si>
  <si>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</si>
  <si>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</si>
  <si>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</si>
  <si>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</si>
  <si>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</si>
  <si>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</si>
  <si>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</si>
  <si>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</si>
  <si>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</si>
  <si>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</si>
  <si>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</si>
  <si>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</si>
  <si>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</si>
  <si>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</si>
  <si>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</si>
  <si>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</si>
  <si>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</si>
  <si>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</si>
  <si>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</si>
  <si>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</si>
  <si>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</si>
  <si>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</si>
  <si>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</si>
  <si>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</si>
  <si>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</si>
  <si>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</si>
  <si>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</si>
  <si>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</si>
  <si>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</si>
  <si>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</si>
  <si>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</si>
  <si>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</si>
  <si>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</si>
  <si>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</si>
  <si>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</si>
  <si>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</si>
  <si>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</si>
  <si>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</si>
  <si>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</si>
  <si>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</si>
  <si>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</si>
  <si>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</si>
  <si>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</si>
  <si>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</si>
  <si>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</si>
  <si>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</si>
  <si>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</si>
  <si>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</si>
  <si>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</si>
  <si>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</si>
  <si>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</si>
  <si>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</si>
  <si>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</si>
  <si>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</si>
  <si>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</si>
  <si>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</si>
  <si>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</si>
  <si>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</si>
  <si>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</si>
  <si>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</si>
  <si>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</si>
  <si>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</si>
  <si>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</si>
  <si>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</si>
  <si>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</si>
  <si>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</si>
  <si>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</si>
  <si>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</si>
  <si>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</si>
  <si>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</si>
  <si>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</si>
  <si>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</si>
  <si>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</si>
  <si>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</si>
  <si>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</si>
  <si>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</si>
  <si>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</si>
  <si>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</si>
  <si>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</si>
  <si>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</si>
  <si>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</si>
  <si>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</si>
  <si>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</si>
  <si>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</si>
  <si>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</si>
  <si>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</si>
  <si>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</si>
  <si>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</si>
  <si>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</si>
  <si>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</si>
  <si>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</si>
  <si>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</si>
  <si>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</si>
  <si>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</si>
  <si>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</si>
  <si>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</si>
  <si>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</si>
  <si>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</si>
  <si>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</si>
  <si>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</si>
  <si>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</si>
  <si>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</si>
  <si>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</si>
  <si>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</si>
  <si>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</si>
  <si>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</si>
  <si>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</si>
  <si>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</si>
  <si>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</si>
  <si>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</si>
  <si>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</si>
  <si>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</si>
  <si>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</si>
  <si>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</si>
  <si>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</si>
  <si>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</si>
  <si>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</si>
  <si>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</si>
  <si>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</si>
  <si>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</si>
  <si>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</si>
  <si>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</si>
  <si>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</si>
  <si>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</si>
  <si>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</si>
  <si>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</si>
  <si>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</si>
  <si>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</si>
  <si>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</si>
  <si>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</si>
  <si>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</si>
  <si>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</si>
  <si>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</si>
  <si>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</si>
  <si>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</si>
  <si>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</si>
  <si>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</si>
  <si>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</si>
  <si>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</si>
  <si>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</si>
  <si>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</si>
  <si>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</si>
  <si>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</si>
  <si>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</si>
  <si>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</si>
  <si>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</si>
  <si>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</si>
  <si>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</si>
  <si>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</si>
  <si>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</si>
  <si>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</si>
  <si>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</si>
  <si>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</si>
  <si>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</si>
  <si>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</si>
  <si>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</si>
  <si>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</si>
  <si>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</si>
  <si>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</si>
  <si>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</si>
  <si>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</si>
  <si>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</si>
  <si>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</si>
  <si>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</si>
  <si>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</si>
  <si>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</si>
  <si>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</si>
  <si>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</si>
  <si>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</si>
  <si>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</si>
  <si>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</si>
  <si>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</si>
  <si>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</si>
  <si>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</si>
  <si>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</si>
  <si>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</si>
  <si>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</si>
  <si>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</si>
  <si>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</si>
  <si>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</si>
  <si>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</si>
  <si>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</si>
  <si>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</si>
  <si>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</si>
  <si>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</si>
  <si>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</si>
  <si>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</si>
  <si>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</si>
  <si>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</si>
  <si>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</si>
  <si>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</si>
  <si>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</si>
  <si>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</si>
  <si>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</si>
  <si>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</si>
  <si>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</si>
  <si>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</si>
  <si>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</si>
  <si>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</si>
  <si>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</si>
  <si>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</si>
  <si>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</si>
  <si>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</si>
  <si>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</si>
  <si>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</si>
  <si>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</si>
  <si>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</si>
  <si>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</si>
  <si>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</si>
  <si>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</si>
  <si>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</si>
  <si>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</si>
  <si>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</si>
  <si>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</si>
  <si>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</si>
  <si>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</si>
  <si>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</si>
  <si>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</si>
  <si>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</si>
  <si>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</si>
  <si>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</si>
  <si>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</si>
  <si>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</si>
  <si>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</si>
  <si>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</si>
  <si>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</si>
  <si>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</si>
  <si>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</si>
  <si>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</si>
  <si>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</si>
  <si>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</si>
  <si>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</si>
  <si>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</si>
  <si>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</si>
  <si>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</si>
  <si>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</si>
  <si>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</si>
  <si>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</si>
  <si>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</si>
  <si>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</si>
  <si>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</si>
  <si>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</si>
  <si>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</si>
  <si>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</si>
  <si>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</si>
  <si>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</si>
  <si>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</si>
  <si>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</si>
  <si>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</si>
  <si>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</si>
  <si>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</si>
  <si>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</si>
  <si>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</si>
  <si>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</si>
  <si>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</si>
  <si>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</si>
  <si>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</si>
  <si>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</si>
  <si>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</si>
  <si>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</si>
  <si>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</si>
  <si>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</si>
  <si>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</si>
  <si>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</si>
  <si>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</si>
  <si>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</si>
  <si>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</si>
  <si>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</si>
  <si>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</si>
  <si>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</si>
  <si>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</si>
  <si>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</si>
  <si>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</si>
  <si>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</si>
  <si>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</si>
  <si>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</si>
  <si>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</si>
  <si>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</si>
  <si>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</si>
  <si>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</si>
  <si>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</si>
  <si>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</si>
  <si>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</si>
  <si>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</si>
  <si>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</si>
  <si>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</si>
  <si>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</si>
  <si>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</si>
  <si>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</si>
  <si>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</si>
  <si>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</si>
  <si>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</si>
  <si>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</si>
  <si>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</si>
  <si>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</si>
  <si>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</si>
  <si>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</si>
  <si>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</si>
  <si>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</si>
  <si>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</si>
  <si>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</si>
  <si>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</si>
  <si>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</si>
  <si>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</si>
  <si>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</si>
  <si>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</si>
  <si>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</si>
  <si>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</si>
  <si>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</si>
  <si>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</si>
  <si>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</si>
  <si>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</si>
  <si>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</si>
  <si>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</si>
  <si>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</si>
  <si>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</si>
  <si>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</si>
  <si>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</si>
  <si>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</si>
  <si>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</si>
  <si>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</si>
  <si>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</si>
  <si>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</si>
  <si>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</si>
  <si>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</si>
  <si>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</si>
  <si>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</si>
  <si>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</si>
  <si>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</si>
  <si>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</si>
  <si>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</si>
  <si>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</si>
  <si>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</si>
  <si>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</si>
  <si>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</si>
  <si>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</si>
  <si>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</si>
  <si>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</si>
  <si>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</si>
  <si>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</si>
  <si>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</si>
  <si>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</si>
  <si>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</si>
  <si>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</si>
  <si>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</si>
  <si>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</si>
  <si>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</si>
  <si>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</si>
  <si>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</si>
  <si>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</si>
  <si>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</si>
  <si>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</si>
  <si>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</si>
  <si>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</si>
  <si>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</si>
  <si>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</si>
  <si>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</si>
  <si>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</si>
  <si>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</si>
  <si>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</si>
  <si>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</si>
  <si>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</si>
  <si>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</si>
  <si>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</si>
  <si>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</si>
  <si>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</si>
  <si>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</si>
  <si>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</si>
  <si>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</si>
  <si>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</si>
  <si>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</si>
  <si>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</si>
  <si>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</si>
  <si>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</si>
  <si>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</si>
  <si>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</si>
  <si>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</si>
  <si>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</si>
  <si>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</si>
  <si>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</si>
  <si>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</si>
  <si>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</si>
  <si>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</si>
  <si>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</si>
  <si>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</si>
  <si>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</si>
  <si>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</si>
  <si>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</si>
  <si>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</si>
  <si>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</si>
  <si>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</si>
  <si>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</si>
  <si>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</si>
  <si>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</si>
  <si>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</si>
  <si>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</si>
  <si>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</si>
  <si>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</si>
  <si>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</si>
  <si>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</si>
  <si>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</si>
  <si>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</si>
  <si>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</si>
  <si>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</si>
  <si>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</si>
  <si>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</si>
  <si>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</si>
  <si>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</si>
  <si>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</si>
  <si>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</si>
  <si>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</si>
  <si>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</si>
  <si>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</si>
  <si>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</si>
  <si>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</si>
  <si>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</si>
  <si>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</si>
  <si>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</si>
  <si>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</si>
  <si>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</si>
  <si>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</si>
  <si>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</si>
  <si>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</si>
  <si>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</si>
  <si>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</si>
  <si>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</si>
  <si>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</si>
  <si>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</si>
  <si>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</si>
  <si>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</si>
  <si>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</si>
  <si>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</si>
  <si>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</si>
  <si>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</si>
  <si>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</si>
  <si>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</si>
  <si>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</si>
  <si>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</si>
  <si>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</si>
  <si>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</si>
  <si>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</si>
  <si>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</si>
  <si>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</si>
  <si>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</si>
  <si>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</si>
  <si>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</si>
  <si>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</si>
  <si>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</si>
  <si>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</si>
  <si>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</si>
  <si>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</si>
  <si>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</si>
  <si>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</si>
  <si>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</si>
  <si>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</si>
  <si>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</si>
  <si>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</si>
  <si>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</si>
  <si>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</si>
  <si>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</si>
  <si>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</si>
  <si>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</si>
  <si>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</si>
  <si>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</si>
  <si>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</si>
  <si>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</si>
  <si>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</si>
  <si>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</si>
  <si>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</si>
  <si>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</si>
  <si>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</si>
  <si>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</si>
  <si>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</si>
  <si>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</si>
  <si>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</si>
  <si>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</si>
  <si>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</si>
  <si>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</si>
  <si>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</si>
  <si>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</si>
  <si>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</si>
  <si>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</si>
  <si>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</si>
  <si>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</si>
  <si>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</si>
  <si>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</si>
  <si>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</si>
  <si>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</si>
  <si>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</si>
  <si>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</si>
  <si>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</si>
  <si>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</si>
  <si>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</si>
  <si>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</si>
  <si>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</si>
  <si>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</si>
  <si>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</si>
  <si>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</si>
  <si>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</si>
  <si>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</si>
  <si>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</si>
  <si>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</si>
  <si>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</si>
  <si>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</si>
  <si>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</si>
  <si>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</si>
  <si>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</si>
  <si>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</si>
  <si>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</si>
  <si>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</si>
  <si>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</si>
  <si>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</si>
  <si>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</si>
  <si>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</si>
  <si>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</si>
  <si>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</si>
  <si>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</si>
  <si>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</si>
  <si>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</si>
  <si>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</si>
  <si>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</si>
  <si>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</si>
  <si>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</si>
  <si>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</si>
  <si>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</si>
  <si>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</si>
  <si>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</si>
  <si>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</si>
  <si>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</si>
  <si>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</si>
  <si>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</si>
  <si>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</si>
  <si>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</si>
  <si>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</si>
  <si>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</si>
  <si>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</si>
  <si>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</si>
  <si>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</si>
  <si>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</si>
  <si>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</si>
  <si>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</si>
  <si>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</si>
  <si>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</si>
  <si>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</si>
  <si>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</si>
  <si>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</si>
  <si>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</si>
  <si>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</si>
  <si>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</si>
  <si>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</si>
  <si>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</si>
  <si>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</si>
  <si>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</si>
  <si>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</si>
  <si>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</si>
  <si>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</si>
  <si>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</si>
  <si>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</si>
  <si>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</si>
  <si>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</si>
  <si>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</si>
  <si>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</si>
  <si>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</si>
  <si>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</si>
  <si>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</si>
  <si>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</si>
  <si>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</si>
  <si>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</si>
  <si>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</si>
  <si>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</si>
  <si>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</si>
  <si>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</si>
  <si>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</si>
  <si>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</si>
  <si>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</si>
  <si>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</si>
  <si>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</si>
  <si>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</si>
  <si>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</si>
  <si>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</si>
  <si>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</si>
  <si>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</si>
  <si>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</si>
  <si>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</si>
  <si>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</si>
  <si>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</si>
  <si>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</si>
  <si>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</si>
  <si>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</si>
  <si>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</si>
  <si>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</si>
  <si>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</si>
  <si>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</si>
  <si>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</si>
  <si>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</si>
  <si>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</si>
  <si>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</si>
  <si>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</si>
  <si>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</si>
  <si>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</si>
  <si>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</si>
  <si>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</si>
  <si>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</si>
  <si>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</si>
  <si>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</si>
  <si>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</si>
  <si>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</si>
  <si>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</si>
  <si>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</si>
  <si>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</si>
  <si>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</si>
  <si>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</si>
  <si>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</si>
  <si>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</si>
  <si>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</si>
  <si>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</si>
  <si>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</si>
  <si>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</si>
  <si>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</si>
  <si>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</si>
  <si>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</si>
  <si>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</si>
  <si>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</si>
  <si>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</si>
  <si>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</si>
  <si>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</si>
  <si>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</si>
  <si>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</si>
  <si>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</si>
  <si>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</si>
  <si>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</si>
  <si>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</si>
  <si>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</si>
  <si>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</si>
  <si>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</si>
  <si>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</si>
  <si>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</si>
  <si>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</si>
  <si>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</si>
  <si>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</si>
  <si>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</si>
  <si>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</si>
  <si>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</si>
  <si>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</si>
  <si>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</si>
  <si>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</si>
  <si>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</si>
  <si>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</si>
  <si>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</si>
  <si>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</si>
  <si>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</si>
  <si>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</si>
  <si>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</si>
  <si>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</si>
  <si>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</si>
  <si>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</si>
  <si>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</si>
  <si>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</si>
  <si>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</si>
  <si>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</si>
  <si>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</si>
  <si>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</si>
  <si>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</si>
  <si>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</si>
  <si>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</si>
  <si>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</si>
  <si>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</si>
  <si>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</si>
  <si>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</si>
  <si>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</si>
  <si>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</si>
  <si>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</si>
  <si>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</si>
  <si>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</si>
  <si>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</si>
  <si>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</si>
  <si>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</si>
  <si>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</si>
  <si>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</si>
  <si>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</si>
  <si>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</si>
  <si>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</si>
  <si>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</si>
  <si>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</si>
  <si>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</si>
  <si>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</si>
  <si>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</si>
  <si>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</si>
  <si>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</si>
  <si>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</si>
  <si>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</si>
  <si>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</si>
  <si>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</si>
  <si>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</si>
  <si>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</si>
  <si>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</si>
  <si>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</si>
  <si>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</si>
  <si>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</si>
  <si>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</si>
  <si>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</si>
  <si>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</si>
  <si>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</si>
  <si>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</si>
  <si>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</si>
  <si>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</si>
  <si>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</si>
  <si>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</si>
  <si>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</si>
  <si>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</si>
  <si>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</si>
  <si>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</si>
  <si>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</si>
  <si>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</si>
  <si>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</si>
  <si>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</si>
  <si>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</si>
  <si>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</si>
  <si>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</si>
  <si>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</si>
  <si>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</si>
  <si>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</si>
  <si>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</si>
  <si>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</si>
  <si>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</si>
  <si>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</si>
  <si>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</si>
  <si>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</si>
  <si>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</si>
  <si>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</si>
  <si>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</si>
  <si>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</si>
  <si>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</si>
  <si>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</si>
  <si>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</si>
  <si>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</si>
  <si>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</si>
  <si>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</si>
  <si>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</si>
  <si>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</si>
  <si>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</si>
  <si>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</si>
  <si>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</si>
  <si>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</si>
  <si>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</si>
  <si>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</si>
  <si>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</si>
  <si>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</si>
  <si>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</si>
  <si>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</si>
  <si>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</si>
  <si>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</si>
  <si>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</si>
  <si>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23101</t>
  </si>
  <si>
    <t>SINT-GENESIUS-RODE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</si>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</sst>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169815.3982374995</c:v>
                </c:pt>
                <c:pt idx="1">
                  <c:v>51031.182426427767</c:v>
                </c:pt>
                <c:pt idx="2">
                  <c:v>1131.913</c:v>
                </c:pt>
                <c:pt idx="3">
                  <c:v>6114.2190225956519</c:v>
                </c:pt>
                <c:pt idx="4">
                  <c:v>6080.8160695017459</c:v>
                </c:pt>
                <c:pt idx="5">
                  <c:v>86144.201289269811</c:v>
                </c:pt>
                <c:pt idx="6">
                  <c:v>1837.9769685797505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169815.3982374995</c:v>
                </c:pt>
                <c:pt idx="1">
                  <c:v>51031.182426427767</c:v>
                </c:pt>
                <c:pt idx="2">
                  <c:v>1131.913</c:v>
                </c:pt>
                <c:pt idx="3">
                  <c:v>6114.2190225956519</c:v>
                </c:pt>
                <c:pt idx="4">
                  <c:v>6080.8160695017459</c:v>
                </c:pt>
                <c:pt idx="5">
                  <c:v>86144.201289269811</c:v>
                </c:pt>
                <c:pt idx="6">
                  <c:v>1837.9769685797505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34402.11628676598</c:v>
                </c:pt>
                <c:pt idx="1">
                  <c:v>10368.661192793543</c:v>
                </c:pt>
                <c:pt idx="2">
                  <c:v>244.69127268876696</c:v>
                </c:pt>
                <c:pt idx="3">
                  <c:v>1249.1361704678245</c:v>
                </c:pt>
                <c:pt idx="4">
                  <c:v>1235.8969767883952</c:v>
                </c:pt>
                <c:pt idx="5">
                  <c:v>21530.393159519066</c:v>
                </c:pt>
                <c:pt idx="6">
                  <c:v>464.26421578771931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34402.11628676598</c:v>
                </c:pt>
                <c:pt idx="1">
                  <c:v>10368.661192793543</c:v>
                </c:pt>
                <c:pt idx="2">
                  <c:v>244.69127268876696</c:v>
                </c:pt>
                <c:pt idx="3">
                  <c:v>1249.1361704678245</c:v>
                </c:pt>
                <c:pt idx="4">
                  <c:v>1235.8969767883952</c:v>
                </c:pt>
                <c:pt idx="5">
                  <c:v>21530.393159519066</c:v>
                </c:pt>
                <c:pt idx="6">
                  <c:v>464.26421578771931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23101</v>
      </c>
      <c r="B6" s="416"/>
      <c r="C6" s="417"/>
    </row>
    <row r="7" spans="1:7" s="414" customFormat="1" ht="15.75" customHeight="1">
      <c r="A7" s="418" t="str">
        <f>txtMunicipality</f>
        <v>SINT-GENESIUS-RODE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17996.216</v>
      </c>
      <c r="D10" s="719">
        <f ca="1">tertiair!C16</f>
        <v>0</v>
      </c>
      <c r="E10" s="719">
        <f ca="1">tertiair!D16</f>
        <v>29791.930489542221</v>
      </c>
      <c r="F10" s="719">
        <f>tertiair!E16</f>
        <v>102.3186913413067</v>
      </c>
      <c r="G10" s="719">
        <f ca="1">tertiair!F16</f>
        <v>2553.6497723224825</v>
      </c>
      <c r="H10" s="719">
        <f>tertiair!G16</f>
        <v>0</v>
      </c>
      <c r="I10" s="719">
        <f>tertiair!H16</f>
        <v>0</v>
      </c>
      <c r="J10" s="719">
        <f>tertiair!I16</f>
        <v>0</v>
      </c>
      <c r="K10" s="719">
        <f>tertiair!J16</f>
        <v>0</v>
      </c>
      <c r="L10" s="719">
        <f>tertiair!K16</f>
        <v>0</v>
      </c>
      <c r="M10" s="719">
        <f ca="1">tertiair!L16</f>
        <v>0</v>
      </c>
      <c r="N10" s="719">
        <f>tertiair!M16</f>
        <v>0</v>
      </c>
      <c r="O10" s="719">
        <f ca="1">tertiair!N16</f>
        <v>1717.4171398884178</v>
      </c>
      <c r="P10" s="719">
        <f>tertiair!O16</f>
        <v>1.5633333333333335</v>
      </c>
      <c r="Q10" s="720">
        <f>tertiair!P16</f>
        <v>0</v>
      </c>
      <c r="R10" s="722">
        <f ca="1">SUM(C10:Q10)</f>
        <v>52163.095426427768</v>
      </c>
      <c r="S10" s="67"/>
    </row>
    <row r="11" spans="1:19" s="475" customFormat="1">
      <c r="A11" s="871" t="s">
        <v>225</v>
      </c>
      <c r="B11" s="876"/>
      <c r="C11" s="719">
        <f>huishoudens!B8</f>
        <v>34771.821770538831</v>
      </c>
      <c r="D11" s="719">
        <f>huishoudens!C8</f>
        <v>0</v>
      </c>
      <c r="E11" s="719">
        <f>huishoudens!D8</f>
        <v>116273.77463226234</v>
      </c>
      <c r="F11" s="719">
        <f>huishoudens!E8</f>
        <v>645.59370818526736</v>
      </c>
      <c r="G11" s="719">
        <f>huishoudens!F8</f>
        <v>12177.775599565908</v>
      </c>
      <c r="H11" s="719">
        <f>huishoudens!G8</f>
        <v>0</v>
      </c>
      <c r="I11" s="719">
        <f>huishoudens!H8</f>
        <v>0</v>
      </c>
      <c r="J11" s="719">
        <f>huishoudens!I8</f>
        <v>0</v>
      </c>
      <c r="K11" s="719">
        <f>huishoudens!J8</f>
        <v>0</v>
      </c>
      <c r="L11" s="719">
        <f>huishoudens!K8</f>
        <v>0</v>
      </c>
      <c r="M11" s="719">
        <f>huishoudens!L8</f>
        <v>0</v>
      </c>
      <c r="N11" s="719">
        <f>huishoudens!M8</f>
        <v>0</v>
      </c>
      <c r="O11" s="719">
        <f>huishoudens!N8</f>
        <v>5712.6058602804942</v>
      </c>
      <c r="P11" s="719">
        <f>huishoudens!O8</f>
        <v>81.293333333333337</v>
      </c>
      <c r="Q11" s="720">
        <f>huishoudens!P8</f>
        <v>152.53333333333333</v>
      </c>
      <c r="R11" s="722">
        <f>SUM(C11:Q11)</f>
        <v>169815.3982374995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1782.68372</v>
      </c>
      <c r="D13" s="719">
        <f>industrie!C18</f>
        <v>0</v>
      </c>
      <c r="E13" s="719">
        <f>industrie!D18</f>
        <v>1978.3093715919299</v>
      </c>
      <c r="F13" s="719">
        <f>industrie!E18</f>
        <v>434.27389120250763</v>
      </c>
      <c r="G13" s="719">
        <f>industrie!F18</f>
        <v>1318.2448355323686</v>
      </c>
      <c r="H13" s="719">
        <f>industrie!G18</f>
        <v>0</v>
      </c>
      <c r="I13" s="719">
        <f>industrie!H18</f>
        <v>0</v>
      </c>
      <c r="J13" s="719">
        <f>industrie!I18</f>
        <v>0</v>
      </c>
      <c r="K13" s="719">
        <f>industrie!J18</f>
        <v>1.0037225992217333</v>
      </c>
      <c r="L13" s="719">
        <f>industrie!K18</f>
        <v>0</v>
      </c>
      <c r="M13" s="719">
        <f>industrie!L18</f>
        <v>0</v>
      </c>
      <c r="N13" s="719">
        <f>industrie!M18</f>
        <v>0</v>
      </c>
      <c r="O13" s="719">
        <f>industrie!N18</f>
        <v>566.30052857571786</v>
      </c>
      <c r="P13" s="719">
        <f>industrie!O18</f>
        <v>0</v>
      </c>
      <c r="Q13" s="720">
        <f>industrie!P18</f>
        <v>0</v>
      </c>
      <c r="R13" s="722">
        <f>SUM(C13:Q13)</f>
        <v>6080.8160695017459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54550.721490538832</v>
      </c>
      <c r="D15" s="724">
        <f t="shared" ref="D15:Q15" ca="1" si="0">SUM(D9:D14)</f>
        <v>0</v>
      </c>
      <c r="E15" s="724">
        <f t="shared" ca="1" si="0"/>
        <v>148044.01449339648</v>
      </c>
      <c r="F15" s="724">
        <f t="shared" si="0"/>
        <v>1182.1862907290817</v>
      </c>
      <c r="G15" s="724">
        <f t="shared" ca="1" si="0"/>
        <v>16049.670207420759</v>
      </c>
      <c r="H15" s="724">
        <f t="shared" si="0"/>
        <v>0</v>
      </c>
      <c r="I15" s="724">
        <f t="shared" si="0"/>
        <v>0</v>
      </c>
      <c r="J15" s="724">
        <f t="shared" si="0"/>
        <v>0</v>
      </c>
      <c r="K15" s="724">
        <f t="shared" si="0"/>
        <v>1.0037225992217333</v>
      </c>
      <c r="L15" s="724">
        <f t="shared" si="0"/>
        <v>0</v>
      </c>
      <c r="M15" s="724">
        <f t="shared" ca="1" si="0"/>
        <v>0</v>
      </c>
      <c r="N15" s="724">
        <f t="shared" si="0"/>
        <v>0</v>
      </c>
      <c r="O15" s="724">
        <f t="shared" ca="1" si="0"/>
        <v>7996.3235287446305</v>
      </c>
      <c r="P15" s="724">
        <f t="shared" si="0"/>
        <v>82.856666666666669</v>
      </c>
      <c r="Q15" s="725">
        <f t="shared" si="0"/>
        <v>152.53333333333333</v>
      </c>
      <c r="R15" s="726">
        <f ca="1">SUM(R9:R14)</f>
        <v>228059.30973342899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1738.8172875944542</v>
      </c>
      <c r="I18" s="719">
        <f>transport!H54</f>
        <v>0</v>
      </c>
      <c r="J18" s="719">
        <f>transport!I54</f>
        <v>0</v>
      </c>
      <c r="K18" s="719">
        <f>transport!J54</f>
        <v>0</v>
      </c>
      <c r="L18" s="719">
        <f>transport!K54</f>
        <v>0</v>
      </c>
      <c r="M18" s="719">
        <f>transport!L54</f>
        <v>0</v>
      </c>
      <c r="N18" s="719">
        <f>transport!M54</f>
        <v>99.159680985296276</v>
      </c>
      <c r="O18" s="719">
        <f>transport!N54</f>
        <v>0</v>
      </c>
      <c r="P18" s="719">
        <f>transport!O54</f>
        <v>0</v>
      </c>
      <c r="Q18" s="720">
        <f>transport!P54</f>
        <v>0</v>
      </c>
      <c r="R18" s="722">
        <f>SUM(C18:Q18)</f>
        <v>1837.9769685797505</v>
      </c>
      <c r="S18" s="67"/>
    </row>
    <row r="19" spans="1:19" s="475" customFormat="1" ht="15" thickBot="1">
      <c r="A19" s="871" t="s">
        <v>307</v>
      </c>
      <c r="B19" s="876"/>
      <c r="C19" s="728">
        <f>transport!B14</f>
        <v>14.39666596815341</v>
      </c>
      <c r="D19" s="728">
        <f>transport!C14</f>
        <v>0</v>
      </c>
      <c r="E19" s="728">
        <f>transport!D14</f>
        <v>48.547327633285839</v>
      </c>
      <c r="F19" s="728">
        <f>transport!E14</f>
        <v>298.49885886217777</v>
      </c>
      <c r="G19" s="728">
        <f>transport!F14</f>
        <v>0</v>
      </c>
      <c r="H19" s="728">
        <f>transport!G14</f>
        <v>63484.215358140071</v>
      </c>
      <c r="I19" s="728">
        <f>transport!H14</f>
        <v>18069.998629485304</v>
      </c>
      <c r="J19" s="728">
        <f>transport!I14</f>
        <v>0</v>
      </c>
      <c r="K19" s="728">
        <f>transport!J14</f>
        <v>0</v>
      </c>
      <c r="L19" s="728">
        <f>transport!K14</f>
        <v>0</v>
      </c>
      <c r="M19" s="728">
        <f>transport!L14</f>
        <v>0</v>
      </c>
      <c r="N19" s="728">
        <f>transport!M14</f>
        <v>4228.5444491808121</v>
      </c>
      <c r="O19" s="728">
        <f>transport!N14</f>
        <v>0</v>
      </c>
      <c r="P19" s="728">
        <f>transport!O14</f>
        <v>0</v>
      </c>
      <c r="Q19" s="729">
        <f>transport!P14</f>
        <v>0</v>
      </c>
      <c r="R19" s="730">
        <f>SUM(C19:Q19)</f>
        <v>86144.201289269811</v>
      </c>
      <c r="S19" s="67"/>
    </row>
    <row r="20" spans="1:19" s="475" customFormat="1" ht="15.75" thickBot="1">
      <c r="A20" s="731" t="s">
        <v>230</v>
      </c>
      <c r="B20" s="879"/>
      <c r="C20" s="874">
        <f>SUM(C17:C19)</f>
        <v>14.39666596815341</v>
      </c>
      <c r="D20" s="732">
        <f t="shared" ref="D20:R20" si="1">SUM(D17:D19)</f>
        <v>0</v>
      </c>
      <c r="E20" s="732">
        <f t="shared" si="1"/>
        <v>48.547327633285839</v>
      </c>
      <c r="F20" s="732">
        <f t="shared" si="1"/>
        <v>298.49885886217777</v>
      </c>
      <c r="G20" s="732">
        <f t="shared" si="1"/>
        <v>0</v>
      </c>
      <c r="H20" s="732">
        <f t="shared" si="1"/>
        <v>65223.032645734522</v>
      </c>
      <c r="I20" s="732">
        <f t="shared" si="1"/>
        <v>18069.998629485304</v>
      </c>
      <c r="J20" s="732">
        <f t="shared" si="1"/>
        <v>0</v>
      </c>
      <c r="K20" s="732">
        <f t="shared" si="1"/>
        <v>0</v>
      </c>
      <c r="L20" s="732">
        <f t="shared" si="1"/>
        <v>0</v>
      </c>
      <c r="M20" s="732">
        <f t="shared" si="1"/>
        <v>0</v>
      </c>
      <c r="N20" s="732">
        <f t="shared" si="1"/>
        <v>4327.7041301661084</v>
      </c>
      <c r="O20" s="732">
        <f t="shared" si="1"/>
        <v>0</v>
      </c>
      <c r="P20" s="732">
        <f t="shared" si="1"/>
        <v>0</v>
      </c>
      <c r="Q20" s="733">
        <f t="shared" si="1"/>
        <v>0</v>
      </c>
      <c r="R20" s="734">
        <f t="shared" si="1"/>
        <v>87982.178257849562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69.407889999999995</v>
      </c>
      <c r="D22" s="728">
        <f>+landbouw!C8</f>
        <v>0</v>
      </c>
      <c r="E22" s="728">
        <f>+landbouw!D8</f>
        <v>5857.4262043969866</v>
      </c>
      <c r="F22" s="728">
        <f>+landbouw!E8</f>
        <v>0.64288494787656636</v>
      </c>
      <c r="G22" s="728">
        <f>+landbouw!F8</f>
        <v>176.10103911947613</v>
      </c>
      <c r="H22" s="728">
        <f>+landbouw!G8</f>
        <v>0</v>
      </c>
      <c r="I22" s="728">
        <f>+landbouw!H8</f>
        <v>0</v>
      </c>
      <c r="J22" s="728">
        <f>+landbouw!I8</f>
        <v>0</v>
      </c>
      <c r="K22" s="728">
        <f>+landbouw!J8</f>
        <v>10.641004131313128</v>
      </c>
      <c r="L22" s="728">
        <f>+landbouw!K8</f>
        <v>0</v>
      </c>
      <c r="M22" s="728">
        <f>+landbouw!L8</f>
        <v>0</v>
      </c>
      <c r="N22" s="728">
        <f>+landbouw!M8</f>
        <v>0</v>
      </c>
      <c r="O22" s="728">
        <f>+landbouw!N8</f>
        <v>0</v>
      </c>
      <c r="P22" s="728">
        <f>+landbouw!O8</f>
        <v>0</v>
      </c>
      <c r="Q22" s="729">
        <f>+landbouw!P8</f>
        <v>0</v>
      </c>
      <c r="R22" s="730">
        <f>SUM(C22:Q22)</f>
        <v>6114.2190225956519</v>
      </c>
      <c r="S22" s="67"/>
    </row>
    <row r="23" spans="1:19" s="475" customFormat="1" ht="17.25" thickTop="1" thickBot="1">
      <c r="A23" s="735" t="s">
        <v>116</v>
      </c>
      <c r="B23" s="865"/>
      <c r="C23" s="736">
        <f ca="1">C20+C15+C22</f>
        <v>54634.526046506988</v>
      </c>
      <c r="D23" s="736">
        <f t="shared" ref="D23:Q23" ca="1" si="2">D20+D15+D22</f>
        <v>0</v>
      </c>
      <c r="E23" s="736">
        <f t="shared" ca="1" si="2"/>
        <v>153949.98802542675</v>
      </c>
      <c r="F23" s="736">
        <f t="shared" si="2"/>
        <v>1481.3280345391361</v>
      </c>
      <c r="G23" s="736">
        <f t="shared" ca="1" si="2"/>
        <v>16225.771246540235</v>
      </c>
      <c r="H23" s="736">
        <f t="shared" si="2"/>
        <v>65223.032645734522</v>
      </c>
      <c r="I23" s="736">
        <f t="shared" si="2"/>
        <v>18069.998629485304</v>
      </c>
      <c r="J23" s="736">
        <f t="shared" si="2"/>
        <v>0</v>
      </c>
      <c r="K23" s="736">
        <f t="shared" si="2"/>
        <v>11.644726730534861</v>
      </c>
      <c r="L23" s="736">
        <f t="shared" si="2"/>
        <v>0</v>
      </c>
      <c r="M23" s="736">
        <f t="shared" ca="1" si="2"/>
        <v>0</v>
      </c>
      <c r="N23" s="736">
        <f t="shared" si="2"/>
        <v>4327.7041301661084</v>
      </c>
      <c r="O23" s="736">
        <f t="shared" ca="1" si="2"/>
        <v>7996.3235287446305</v>
      </c>
      <c r="P23" s="736">
        <f t="shared" si="2"/>
        <v>82.856666666666669</v>
      </c>
      <c r="Q23" s="737">
        <f t="shared" si="2"/>
        <v>152.53333333333333</v>
      </c>
      <c r="R23" s="738">
        <f ca="1">R20+R15+R22</f>
        <v>322155.7070138742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3890.3316744502008</v>
      </c>
      <c r="D36" s="719">
        <f ca="1">tertiair!C20</f>
        <v>0</v>
      </c>
      <c r="E36" s="719">
        <f ca="1">tertiair!D20</f>
        <v>6017.9699588875292</v>
      </c>
      <c r="F36" s="719">
        <f>tertiair!E20</f>
        <v>23.226342934476623</v>
      </c>
      <c r="G36" s="719">
        <f ca="1">tertiair!F20</f>
        <v>681.82448921010291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10613.35246548231</v>
      </c>
    </row>
    <row r="37" spans="1:18">
      <c r="A37" s="886" t="s">
        <v>225</v>
      </c>
      <c r="B37" s="893"/>
      <c r="C37" s="719">
        <f ca="1">huishoudens!B12</f>
        <v>7516.7979542068342</v>
      </c>
      <c r="D37" s="719">
        <f ca="1">huishoudens!C12</f>
        <v>0</v>
      </c>
      <c r="E37" s="719">
        <f>huishoudens!D12</f>
        <v>23487.302475716995</v>
      </c>
      <c r="F37" s="719">
        <f>huishoudens!E12</f>
        <v>146.5497717580557</v>
      </c>
      <c r="G37" s="719">
        <f>huishoudens!F12</f>
        <v>3251.4660850840978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34402.11628676598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385.37162153658932</v>
      </c>
      <c r="D39" s="719">
        <f ca="1">industrie!C22</f>
        <v>0</v>
      </c>
      <c r="E39" s="719">
        <f>industrie!D22</f>
        <v>399.61849306156989</v>
      </c>
      <c r="F39" s="719">
        <f>industrie!E22</f>
        <v>98.580173302969229</v>
      </c>
      <c r="G39" s="719">
        <f>industrie!F22</f>
        <v>351.97137108714242</v>
      </c>
      <c r="H39" s="719">
        <f>industrie!G22</f>
        <v>0</v>
      </c>
      <c r="I39" s="719">
        <f>industrie!H22</f>
        <v>0</v>
      </c>
      <c r="J39" s="719">
        <f>industrie!I22</f>
        <v>0</v>
      </c>
      <c r="K39" s="719">
        <f>industrie!J22</f>
        <v>0.3553178001244936</v>
      </c>
      <c r="L39" s="719">
        <f>industrie!K22</f>
        <v>0</v>
      </c>
      <c r="M39" s="719">
        <f>industrie!L22</f>
        <v>0</v>
      </c>
      <c r="N39" s="719">
        <f>industrie!M22</f>
        <v>0</v>
      </c>
      <c r="O39" s="719">
        <f>industrie!N22</f>
        <v>0</v>
      </c>
      <c r="P39" s="719">
        <f>industrie!O22</f>
        <v>0</v>
      </c>
      <c r="Q39" s="829">
        <f>industrie!P22</f>
        <v>0</v>
      </c>
      <c r="R39" s="919">
        <f ca="1">SUM(C39:Q39)</f>
        <v>1235.8969767883952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11792.501250193625</v>
      </c>
      <c r="D41" s="764">
        <f t="shared" ref="D41:R41" ca="1" si="4">SUM(D35:D40)</f>
        <v>0</v>
      </c>
      <c r="E41" s="764">
        <f t="shared" ca="1" si="4"/>
        <v>29904.890927666096</v>
      </c>
      <c r="F41" s="764">
        <f t="shared" si="4"/>
        <v>268.35628799550159</v>
      </c>
      <c r="G41" s="764">
        <f t="shared" ca="1" si="4"/>
        <v>4285.2619453813431</v>
      </c>
      <c r="H41" s="764">
        <f t="shared" si="4"/>
        <v>0</v>
      </c>
      <c r="I41" s="764">
        <f t="shared" si="4"/>
        <v>0</v>
      </c>
      <c r="J41" s="764">
        <f t="shared" si="4"/>
        <v>0</v>
      </c>
      <c r="K41" s="764">
        <f t="shared" si="4"/>
        <v>0.3553178001244936</v>
      </c>
      <c r="L41" s="764">
        <f t="shared" si="4"/>
        <v>0</v>
      </c>
      <c r="M41" s="764">
        <f t="shared" ca="1" si="4"/>
        <v>0</v>
      </c>
      <c r="N41" s="764">
        <f t="shared" si="4"/>
        <v>0</v>
      </c>
      <c r="O41" s="764">
        <f t="shared" ca="1" si="4"/>
        <v>0</v>
      </c>
      <c r="P41" s="764">
        <f t="shared" si="4"/>
        <v>0</v>
      </c>
      <c r="Q41" s="765">
        <f t="shared" si="4"/>
        <v>0</v>
      </c>
      <c r="R41" s="766">
        <f t="shared" ca="1" si="4"/>
        <v>46251.36572903669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464.26421578771931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464.26421578771931</v>
      </c>
    </row>
    <row r="45" spans="1:18" ht="15" thickBot="1">
      <c r="A45" s="889" t="s">
        <v>307</v>
      </c>
      <c r="B45" s="899"/>
      <c r="C45" s="728">
        <f ca="1">transport!B18</f>
        <v>3.1121990101911692</v>
      </c>
      <c r="D45" s="728">
        <f>transport!C18</f>
        <v>0</v>
      </c>
      <c r="E45" s="728">
        <f>transport!D18</f>
        <v>9.8065601819237393</v>
      </c>
      <c r="F45" s="728">
        <f>transport!E18</f>
        <v>67.759240961714355</v>
      </c>
      <c r="G45" s="728">
        <f>transport!F18</f>
        <v>0</v>
      </c>
      <c r="H45" s="728">
        <f>transport!G18</f>
        <v>16950.285500623399</v>
      </c>
      <c r="I45" s="728">
        <f>transport!H18</f>
        <v>4499.4296587418412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21530.393159519066</v>
      </c>
    </row>
    <row r="46" spans="1:18" ht="15.75" thickBot="1">
      <c r="A46" s="887" t="s">
        <v>230</v>
      </c>
      <c r="B46" s="900"/>
      <c r="C46" s="764">
        <f t="shared" ref="C46:R46" ca="1" si="5">SUM(C43:C45)</f>
        <v>3.1121990101911692</v>
      </c>
      <c r="D46" s="764">
        <f t="shared" ca="1" si="5"/>
        <v>0</v>
      </c>
      <c r="E46" s="764">
        <f t="shared" si="5"/>
        <v>9.8065601819237393</v>
      </c>
      <c r="F46" s="764">
        <f t="shared" si="5"/>
        <v>67.759240961714355</v>
      </c>
      <c r="G46" s="764">
        <f t="shared" si="5"/>
        <v>0</v>
      </c>
      <c r="H46" s="764">
        <f t="shared" si="5"/>
        <v>17414.549716411118</v>
      </c>
      <c r="I46" s="764">
        <f t="shared" si="5"/>
        <v>4499.4296587418412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21994.657375306786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15.004249389080202</v>
      </c>
      <c r="D48" s="719">
        <f ca="1">+landbouw!C12</f>
        <v>0</v>
      </c>
      <c r="E48" s="719">
        <f>+landbouw!D12</f>
        <v>1183.2000932881913</v>
      </c>
      <c r="F48" s="719">
        <f>+landbouw!E12</f>
        <v>0.14593488316798056</v>
      </c>
      <c r="G48" s="719">
        <f>+landbouw!F12</f>
        <v>47.018977444900131</v>
      </c>
      <c r="H48" s="719">
        <f>+landbouw!G12</f>
        <v>0</v>
      </c>
      <c r="I48" s="719">
        <f>+landbouw!H12</f>
        <v>0</v>
      </c>
      <c r="J48" s="719">
        <f>+landbouw!I12</f>
        <v>0</v>
      </c>
      <c r="K48" s="719">
        <f>+landbouw!J12</f>
        <v>3.7669154624848473</v>
      </c>
      <c r="L48" s="719">
        <f>+landbouw!K12</f>
        <v>0</v>
      </c>
      <c r="M48" s="719">
        <f>+landbouw!L12</f>
        <v>0</v>
      </c>
      <c r="N48" s="719">
        <f>+landbouw!M12</f>
        <v>0</v>
      </c>
      <c r="O48" s="719">
        <f>+landbouw!N12</f>
        <v>0</v>
      </c>
      <c r="P48" s="719">
        <f>+landbouw!O12</f>
        <v>0</v>
      </c>
      <c r="Q48" s="720">
        <f>+landbouw!P12</f>
        <v>0</v>
      </c>
      <c r="R48" s="762">
        <f ca="1">SUM(C48:Q48)</f>
        <v>1249.1361704678245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11810.617698592896</v>
      </c>
      <c r="D53" s="774">
        <f t="shared" ref="D53:Q53" ca="1" si="6">D41+D46+D48</f>
        <v>0</v>
      </c>
      <c r="E53" s="774">
        <f t="shared" ca="1" si="6"/>
        <v>31097.897581136214</v>
      </c>
      <c r="F53" s="774">
        <f t="shared" si="6"/>
        <v>336.2614638403839</v>
      </c>
      <c r="G53" s="774">
        <f t="shared" ca="1" si="6"/>
        <v>4332.2809228262431</v>
      </c>
      <c r="H53" s="774">
        <f t="shared" si="6"/>
        <v>17414.549716411118</v>
      </c>
      <c r="I53" s="774">
        <f t="shared" si="6"/>
        <v>4499.4296587418412</v>
      </c>
      <c r="J53" s="774">
        <f t="shared" si="6"/>
        <v>0</v>
      </c>
      <c r="K53" s="774">
        <f t="shared" si="6"/>
        <v>4.122233262609341</v>
      </c>
      <c r="L53" s="774">
        <f t="shared" si="6"/>
        <v>0</v>
      </c>
      <c r="M53" s="774">
        <f t="shared" ca="1" si="6"/>
        <v>0</v>
      </c>
      <c r="N53" s="774">
        <f t="shared" si="6"/>
        <v>0</v>
      </c>
      <c r="O53" s="774">
        <f t="shared" ca="1" si="6"/>
        <v>0</v>
      </c>
      <c r="P53" s="774">
        <f>P41+P46+P48</f>
        <v>0</v>
      </c>
      <c r="Q53" s="775">
        <f t="shared" si="6"/>
        <v>0</v>
      </c>
      <c r="R53" s="776">
        <f ca="1">R41+R46+R48</f>
        <v>69495.159274811303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0.21617498225461404</v>
      </c>
      <c r="D55" s="837">
        <f t="shared" ca="1" si="7"/>
        <v>0</v>
      </c>
      <c r="E55" s="837">
        <f t="shared" ca="1" si="7"/>
        <v>0.20200000000000007</v>
      </c>
      <c r="F55" s="837">
        <f t="shared" si="7"/>
        <v>0.22700000000000001</v>
      </c>
      <c r="G55" s="837">
        <f t="shared" ca="1" si="7"/>
        <v>0.26700000000000002</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1192.8170031002121</v>
      </c>
      <c r="C66" s="796">
        <f>'lokale energieproductie'!B6</f>
        <v>1192.8170031002121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1192.8170031002121</v>
      </c>
      <c r="C69" s="804">
        <f>SUM(C64:C68)</f>
        <v>1192.8170031002121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34771.821770538831</v>
      </c>
      <c r="C4" s="479">
        <f>huishoudens!C8</f>
        <v>0</v>
      </c>
      <c r="D4" s="479">
        <f>huishoudens!D8</f>
        <v>116273.77463226234</v>
      </c>
      <c r="E4" s="479">
        <f>huishoudens!E8</f>
        <v>645.59370818526736</v>
      </c>
      <c r="F4" s="479">
        <f>huishoudens!F8</f>
        <v>12177.775599565908</v>
      </c>
      <c r="G4" s="479">
        <f>huishoudens!G8</f>
        <v>0</v>
      </c>
      <c r="H4" s="479">
        <f>huishoudens!H8</f>
        <v>0</v>
      </c>
      <c r="I4" s="479">
        <f>huishoudens!I8</f>
        <v>0</v>
      </c>
      <c r="J4" s="479">
        <f>huishoudens!J8</f>
        <v>0</v>
      </c>
      <c r="K4" s="479">
        <f>huishoudens!K8</f>
        <v>0</v>
      </c>
      <c r="L4" s="479">
        <f>huishoudens!L8</f>
        <v>0</v>
      </c>
      <c r="M4" s="479">
        <f>huishoudens!M8</f>
        <v>0</v>
      </c>
      <c r="N4" s="479">
        <f>huishoudens!N8</f>
        <v>5712.6058602804942</v>
      </c>
      <c r="O4" s="479">
        <f>huishoudens!O8</f>
        <v>81.293333333333337</v>
      </c>
      <c r="P4" s="480">
        <f>huishoudens!P8</f>
        <v>152.53333333333333</v>
      </c>
      <c r="Q4" s="481">
        <f>SUM(B4:P4)</f>
        <v>169815.3982374995</v>
      </c>
    </row>
    <row r="5" spans="1:17">
      <c r="A5" s="478" t="s">
        <v>156</v>
      </c>
      <c r="B5" s="479">
        <f ca="1">tertiair!B16</f>
        <v>16864.303</v>
      </c>
      <c r="C5" s="479">
        <f ca="1">tertiair!C16</f>
        <v>0</v>
      </c>
      <c r="D5" s="479">
        <f ca="1">tertiair!D16</f>
        <v>29791.930489542221</v>
      </c>
      <c r="E5" s="479">
        <f>tertiair!E16</f>
        <v>102.3186913413067</v>
      </c>
      <c r="F5" s="479">
        <f ca="1">tertiair!F16</f>
        <v>2553.6497723224825</v>
      </c>
      <c r="G5" s="479">
        <f>tertiair!G16</f>
        <v>0</v>
      </c>
      <c r="H5" s="479">
        <f>tertiair!H16</f>
        <v>0</v>
      </c>
      <c r="I5" s="479">
        <f>tertiair!I16</f>
        <v>0</v>
      </c>
      <c r="J5" s="479">
        <f>tertiair!J16</f>
        <v>0</v>
      </c>
      <c r="K5" s="479">
        <f>tertiair!K16</f>
        <v>0</v>
      </c>
      <c r="L5" s="479">
        <f ca="1">tertiair!L16</f>
        <v>0</v>
      </c>
      <c r="M5" s="479">
        <f>tertiair!M16</f>
        <v>0</v>
      </c>
      <c r="N5" s="479">
        <f ca="1">tertiair!N16</f>
        <v>1717.4171398884178</v>
      </c>
      <c r="O5" s="479">
        <f>tertiair!O16</f>
        <v>1.5633333333333335</v>
      </c>
      <c r="P5" s="480">
        <f>tertiair!P16</f>
        <v>0</v>
      </c>
      <c r="Q5" s="478">
        <f t="shared" ref="Q5:Q13" ca="1" si="0">SUM(B5:P5)</f>
        <v>51031.182426427767</v>
      </c>
    </row>
    <row r="6" spans="1:17">
      <c r="A6" s="478" t="s">
        <v>194</v>
      </c>
      <c r="B6" s="479">
        <f>'openbare verlichting'!B8</f>
        <v>1131.913</v>
      </c>
      <c r="C6" s="479"/>
      <c r="D6" s="479"/>
      <c r="E6" s="479"/>
      <c r="F6" s="479"/>
      <c r="G6" s="479"/>
      <c r="H6" s="479"/>
      <c r="I6" s="479"/>
      <c r="J6" s="479"/>
      <c r="K6" s="479"/>
      <c r="L6" s="479"/>
      <c r="M6" s="479"/>
      <c r="N6" s="479"/>
      <c r="O6" s="479"/>
      <c r="P6" s="480"/>
      <c r="Q6" s="478">
        <f t="shared" si="0"/>
        <v>1131.913</v>
      </c>
    </row>
    <row r="7" spans="1:17">
      <c r="A7" s="478" t="s">
        <v>112</v>
      </c>
      <c r="B7" s="479">
        <f>landbouw!B8</f>
        <v>69.407889999999995</v>
      </c>
      <c r="C7" s="479">
        <f>landbouw!C8</f>
        <v>0</v>
      </c>
      <c r="D7" s="479">
        <f>landbouw!D8</f>
        <v>5857.4262043969866</v>
      </c>
      <c r="E7" s="479">
        <f>landbouw!E8</f>
        <v>0.64288494787656636</v>
      </c>
      <c r="F7" s="479">
        <f>landbouw!F8</f>
        <v>176.10103911947613</v>
      </c>
      <c r="G7" s="479">
        <f>landbouw!G8</f>
        <v>0</v>
      </c>
      <c r="H7" s="479">
        <f>landbouw!H8</f>
        <v>0</v>
      </c>
      <c r="I7" s="479">
        <f>landbouw!I8</f>
        <v>0</v>
      </c>
      <c r="J7" s="479">
        <f>landbouw!J8</f>
        <v>10.641004131313128</v>
      </c>
      <c r="K7" s="479">
        <f>landbouw!K8</f>
        <v>0</v>
      </c>
      <c r="L7" s="479">
        <f>landbouw!L8</f>
        <v>0</v>
      </c>
      <c r="M7" s="479">
        <f>landbouw!M8</f>
        <v>0</v>
      </c>
      <c r="N7" s="479">
        <f>landbouw!N8</f>
        <v>0</v>
      </c>
      <c r="O7" s="479">
        <f>landbouw!O8</f>
        <v>0</v>
      </c>
      <c r="P7" s="480">
        <f>landbouw!P8</f>
        <v>0</v>
      </c>
      <c r="Q7" s="478">
        <f t="shared" si="0"/>
        <v>6114.2190225956519</v>
      </c>
    </row>
    <row r="8" spans="1:17">
      <c r="A8" s="478" t="s">
        <v>650</v>
      </c>
      <c r="B8" s="479">
        <f>industrie!B18</f>
        <v>1782.68372</v>
      </c>
      <c r="C8" s="479">
        <f>industrie!C18</f>
        <v>0</v>
      </c>
      <c r="D8" s="479">
        <f>industrie!D18</f>
        <v>1978.3093715919299</v>
      </c>
      <c r="E8" s="479">
        <f>industrie!E18</f>
        <v>434.27389120250763</v>
      </c>
      <c r="F8" s="479">
        <f>industrie!F18</f>
        <v>1318.2448355323686</v>
      </c>
      <c r="G8" s="479">
        <f>industrie!G18</f>
        <v>0</v>
      </c>
      <c r="H8" s="479">
        <f>industrie!H18</f>
        <v>0</v>
      </c>
      <c r="I8" s="479">
        <f>industrie!I18</f>
        <v>0</v>
      </c>
      <c r="J8" s="479">
        <f>industrie!J18</f>
        <v>1.0037225992217333</v>
      </c>
      <c r="K8" s="479">
        <f>industrie!K18</f>
        <v>0</v>
      </c>
      <c r="L8" s="479">
        <f>industrie!L18</f>
        <v>0</v>
      </c>
      <c r="M8" s="479">
        <f>industrie!M18</f>
        <v>0</v>
      </c>
      <c r="N8" s="479">
        <f>industrie!N18</f>
        <v>566.30052857571786</v>
      </c>
      <c r="O8" s="479">
        <f>industrie!O18</f>
        <v>0</v>
      </c>
      <c r="P8" s="480">
        <f>industrie!P18</f>
        <v>0</v>
      </c>
      <c r="Q8" s="478">
        <f t="shared" si="0"/>
        <v>6080.8160695017459</v>
      </c>
    </row>
    <row r="9" spans="1:17" s="484" customFormat="1">
      <c r="A9" s="482" t="s">
        <v>571</v>
      </c>
      <c r="B9" s="483">
        <f>transport!B14</f>
        <v>14.39666596815341</v>
      </c>
      <c r="C9" s="483">
        <f>transport!C14</f>
        <v>0</v>
      </c>
      <c r="D9" s="483">
        <f>transport!D14</f>
        <v>48.547327633285839</v>
      </c>
      <c r="E9" s="483">
        <f>transport!E14</f>
        <v>298.49885886217777</v>
      </c>
      <c r="F9" s="483">
        <f>transport!F14</f>
        <v>0</v>
      </c>
      <c r="G9" s="483">
        <f>transport!G14</f>
        <v>63484.215358140071</v>
      </c>
      <c r="H9" s="483">
        <f>transport!H14</f>
        <v>18069.998629485304</v>
      </c>
      <c r="I9" s="483">
        <f>transport!I14</f>
        <v>0</v>
      </c>
      <c r="J9" s="483">
        <f>transport!J14</f>
        <v>0</v>
      </c>
      <c r="K9" s="483">
        <f>transport!K14</f>
        <v>0</v>
      </c>
      <c r="L9" s="483">
        <f>transport!L14</f>
        <v>0</v>
      </c>
      <c r="M9" s="483">
        <f>transport!M14</f>
        <v>4228.5444491808121</v>
      </c>
      <c r="N9" s="483">
        <f>transport!N14</f>
        <v>0</v>
      </c>
      <c r="O9" s="483">
        <f>transport!O14</f>
        <v>0</v>
      </c>
      <c r="P9" s="483">
        <f>transport!P14</f>
        <v>0</v>
      </c>
      <c r="Q9" s="482">
        <f>SUM(B9:P9)</f>
        <v>86144.201289269811</v>
      </c>
    </row>
    <row r="10" spans="1:17">
      <c r="A10" s="478" t="s">
        <v>561</v>
      </c>
      <c r="B10" s="479">
        <f>transport!B54</f>
        <v>0</v>
      </c>
      <c r="C10" s="479">
        <f>transport!C54</f>
        <v>0</v>
      </c>
      <c r="D10" s="479">
        <f>transport!D54</f>
        <v>0</v>
      </c>
      <c r="E10" s="479">
        <f>transport!E54</f>
        <v>0</v>
      </c>
      <c r="F10" s="479">
        <f>transport!F54</f>
        <v>0</v>
      </c>
      <c r="G10" s="479">
        <f>transport!G54</f>
        <v>1738.8172875944542</v>
      </c>
      <c r="H10" s="479">
        <f>transport!H54</f>
        <v>0</v>
      </c>
      <c r="I10" s="479">
        <f>transport!I54</f>
        <v>0</v>
      </c>
      <c r="J10" s="479">
        <f>transport!J54</f>
        <v>0</v>
      </c>
      <c r="K10" s="479">
        <f>transport!K54</f>
        <v>0</v>
      </c>
      <c r="L10" s="479">
        <f>transport!L54</f>
        <v>0</v>
      </c>
      <c r="M10" s="479">
        <f>transport!M54</f>
        <v>99.159680985296276</v>
      </c>
      <c r="N10" s="479">
        <f>transport!N54</f>
        <v>0</v>
      </c>
      <c r="O10" s="479">
        <f>transport!O54</f>
        <v>0</v>
      </c>
      <c r="P10" s="480">
        <f>transport!P54</f>
        <v>0</v>
      </c>
      <c r="Q10" s="478">
        <f t="shared" si="0"/>
        <v>1837.9769685797505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54634.526046506988</v>
      </c>
      <c r="C14" s="489">
        <f t="shared" ref="C14:Q14" ca="1" si="1">SUM(C4:C13)</f>
        <v>0</v>
      </c>
      <c r="D14" s="489">
        <f t="shared" ca="1" si="1"/>
        <v>153949.98802542675</v>
      </c>
      <c r="E14" s="489">
        <f t="shared" si="1"/>
        <v>1481.3280345391361</v>
      </c>
      <c r="F14" s="489">
        <f t="shared" ca="1" si="1"/>
        <v>16225.771246540235</v>
      </c>
      <c r="G14" s="489">
        <f t="shared" si="1"/>
        <v>65223.032645734522</v>
      </c>
      <c r="H14" s="489">
        <f t="shared" si="1"/>
        <v>18069.998629485304</v>
      </c>
      <c r="I14" s="489">
        <f t="shared" si="1"/>
        <v>0</v>
      </c>
      <c r="J14" s="489">
        <f t="shared" si="1"/>
        <v>11.644726730534861</v>
      </c>
      <c r="K14" s="489">
        <f t="shared" si="1"/>
        <v>0</v>
      </c>
      <c r="L14" s="489">
        <f t="shared" ca="1" si="1"/>
        <v>0</v>
      </c>
      <c r="M14" s="489">
        <f t="shared" si="1"/>
        <v>4327.7041301661084</v>
      </c>
      <c r="N14" s="489">
        <f t="shared" ca="1" si="1"/>
        <v>7996.3235287446305</v>
      </c>
      <c r="O14" s="489">
        <f t="shared" si="1"/>
        <v>82.856666666666669</v>
      </c>
      <c r="P14" s="490">
        <f t="shared" si="1"/>
        <v>152.53333333333333</v>
      </c>
      <c r="Q14" s="490">
        <f t="shared" ca="1" si="1"/>
        <v>322155.7070138742</v>
      </c>
    </row>
    <row r="16" spans="1:17">
      <c r="A16" s="492" t="s">
        <v>566</v>
      </c>
      <c r="B16" s="842">
        <f ca="1">huishoudens!B10</f>
        <v>0.21617498225461404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7516.7979542068342</v>
      </c>
      <c r="C21" s="479">
        <f t="shared" ref="C21:C30" ca="1" si="3">C4*$C$16</f>
        <v>0</v>
      </c>
      <c r="D21" s="479">
        <f t="shared" ref="D21:D30" si="4">D4*$D$16</f>
        <v>23487.302475716995</v>
      </c>
      <c r="E21" s="479">
        <f t="shared" ref="E21:E30" si="5">E4*$E$16</f>
        <v>146.5497717580557</v>
      </c>
      <c r="F21" s="479">
        <f t="shared" ref="F21:F30" si="6">F4*$F$16</f>
        <v>3251.4660850840978</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34402.11628676598</v>
      </c>
    </row>
    <row r="22" spans="1:17">
      <c r="A22" s="478" t="s">
        <v>156</v>
      </c>
      <c r="B22" s="479">
        <f t="shared" ca="1" si="2"/>
        <v>3645.6404017614341</v>
      </c>
      <c r="C22" s="479">
        <f t="shared" ca="1" si="3"/>
        <v>0</v>
      </c>
      <c r="D22" s="479">
        <f t="shared" ca="1" si="4"/>
        <v>6017.9699588875292</v>
      </c>
      <c r="E22" s="479">
        <f t="shared" si="5"/>
        <v>23.226342934476623</v>
      </c>
      <c r="F22" s="479">
        <f t="shared" ca="1" si="6"/>
        <v>681.82448921010291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10368.661192793543</v>
      </c>
    </row>
    <row r="23" spans="1:17">
      <c r="A23" s="478" t="s">
        <v>194</v>
      </c>
      <c r="B23" s="479">
        <f t="shared" ca="1" si="2"/>
        <v>244.69127268876696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244.69127268876696</v>
      </c>
    </row>
    <row r="24" spans="1:17">
      <c r="A24" s="478" t="s">
        <v>112</v>
      </c>
      <c r="B24" s="479">
        <f t="shared" ca="1" si="2"/>
        <v>15.004249389080202</v>
      </c>
      <c r="C24" s="479">
        <f t="shared" ca="1" si="3"/>
        <v>0</v>
      </c>
      <c r="D24" s="479">
        <f t="shared" si="4"/>
        <v>1183.2000932881913</v>
      </c>
      <c r="E24" s="479">
        <f t="shared" si="5"/>
        <v>0.14593488316798056</v>
      </c>
      <c r="F24" s="479">
        <f t="shared" si="6"/>
        <v>47.018977444900131</v>
      </c>
      <c r="G24" s="479">
        <f t="shared" si="7"/>
        <v>0</v>
      </c>
      <c r="H24" s="479">
        <f t="shared" si="8"/>
        <v>0</v>
      </c>
      <c r="I24" s="479">
        <f t="shared" si="9"/>
        <v>0</v>
      </c>
      <c r="J24" s="479">
        <f t="shared" si="10"/>
        <v>3.7669154624848473</v>
      </c>
      <c r="K24" s="479">
        <f t="shared" si="11"/>
        <v>0</v>
      </c>
      <c r="L24" s="479">
        <f t="shared" si="12"/>
        <v>0</v>
      </c>
      <c r="M24" s="479">
        <f t="shared" si="13"/>
        <v>0</v>
      </c>
      <c r="N24" s="479">
        <f t="shared" si="14"/>
        <v>0</v>
      </c>
      <c r="O24" s="479">
        <f t="shared" si="15"/>
        <v>0</v>
      </c>
      <c r="P24" s="480">
        <f t="shared" si="16"/>
        <v>0</v>
      </c>
      <c r="Q24" s="478">
        <f t="shared" ca="1" si="17"/>
        <v>1249.1361704678245</v>
      </c>
    </row>
    <row r="25" spans="1:17">
      <c r="A25" s="478" t="s">
        <v>650</v>
      </c>
      <c r="B25" s="479">
        <f t="shared" ca="1" si="2"/>
        <v>385.37162153658932</v>
      </c>
      <c r="C25" s="479">
        <f t="shared" ca="1" si="3"/>
        <v>0</v>
      </c>
      <c r="D25" s="479">
        <f t="shared" si="4"/>
        <v>399.61849306156989</v>
      </c>
      <c r="E25" s="479">
        <f t="shared" si="5"/>
        <v>98.580173302969229</v>
      </c>
      <c r="F25" s="479">
        <f t="shared" si="6"/>
        <v>351.97137108714242</v>
      </c>
      <c r="G25" s="479">
        <f t="shared" si="7"/>
        <v>0</v>
      </c>
      <c r="H25" s="479">
        <f t="shared" si="8"/>
        <v>0</v>
      </c>
      <c r="I25" s="479">
        <f t="shared" si="9"/>
        <v>0</v>
      </c>
      <c r="J25" s="479">
        <f t="shared" si="10"/>
        <v>0.3553178001244936</v>
      </c>
      <c r="K25" s="479">
        <f t="shared" si="11"/>
        <v>0</v>
      </c>
      <c r="L25" s="479">
        <f t="shared" si="12"/>
        <v>0</v>
      </c>
      <c r="M25" s="479">
        <f t="shared" si="13"/>
        <v>0</v>
      </c>
      <c r="N25" s="479">
        <f t="shared" si="14"/>
        <v>0</v>
      </c>
      <c r="O25" s="479">
        <f t="shared" si="15"/>
        <v>0</v>
      </c>
      <c r="P25" s="480">
        <f t="shared" si="16"/>
        <v>0</v>
      </c>
      <c r="Q25" s="478">
        <f t="shared" ca="1" si="17"/>
        <v>1235.8969767883952</v>
      </c>
    </row>
    <row r="26" spans="1:17" s="484" customFormat="1">
      <c r="A26" s="482" t="s">
        <v>571</v>
      </c>
      <c r="B26" s="836">
        <f t="shared" ca="1" si="2"/>
        <v>3.1121990101911692</v>
      </c>
      <c r="C26" s="483">
        <f t="shared" ca="1" si="3"/>
        <v>0</v>
      </c>
      <c r="D26" s="483">
        <f t="shared" si="4"/>
        <v>9.8065601819237393</v>
      </c>
      <c r="E26" s="483">
        <f t="shared" si="5"/>
        <v>67.759240961714355</v>
      </c>
      <c r="F26" s="483">
        <f t="shared" si="6"/>
        <v>0</v>
      </c>
      <c r="G26" s="483">
        <f t="shared" si="7"/>
        <v>16950.285500623399</v>
      </c>
      <c r="H26" s="483">
        <f t="shared" si="8"/>
        <v>4499.4296587418412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21530.393159519066</v>
      </c>
    </row>
    <row r="27" spans="1:17">
      <c r="A27" s="478" t="s">
        <v>561</v>
      </c>
      <c r="B27" s="479">
        <f t="shared" ca="1" si="2"/>
        <v>0</v>
      </c>
      <c r="C27" s="479">
        <f t="shared" ca="1" si="3"/>
        <v>0</v>
      </c>
      <c r="D27" s="479">
        <f t="shared" si="4"/>
        <v>0</v>
      </c>
      <c r="E27" s="479">
        <f t="shared" si="5"/>
        <v>0</v>
      </c>
      <c r="F27" s="479">
        <f t="shared" si="6"/>
        <v>0</v>
      </c>
      <c r="G27" s="479">
        <f t="shared" si="7"/>
        <v>464.26421578771931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464.26421578771931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11810.617698592896</v>
      </c>
      <c r="C31" s="489">
        <f t="shared" ca="1" si="18"/>
        <v>0</v>
      </c>
      <c r="D31" s="489">
        <f t="shared" ca="1" si="18"/>
        <v>31097.897581136214</v>
      </c>
      <c r="E31" s="489">
        <f t="shared" si="18"/>
        <v>336.26146384038384</v>
      </c>
      <c r="F31" s="489">
        <f t="shared" ca="1" si="18"/>
        <v>4332.2809228262431</v>
      </c>
      <c r="G31" s="489">
        <f t="shared" si="18"/>
        <v>17414.549716411118</v>
      </c>
      <c r="H31" s="489">
        <f t="shared" si="18"/>
        <v>4499.4296587418412</v>
      </c>
      <c r="I31" s="489">
        <f t="shared" si="18"/>
        <v>0</v>
      </c>
      <c r="J31" s="489">
        <f t="shared" si="18"/>
        <v>4.122233262609341</v>
      </c>
      <c r="K31" s="489">
        <f t="shared" si="18"/>
        <v>0</v>
      </c>
      <c r="L31" s="489">
        <f t="shared" ca="1" si="18"/>
        <v>0</v>
      </c>
      <c r="M31" s="489">
        <f t="shared" si="18"/>
        <v>0</v>
      </c>
      <c r="N31" s="489">
        <f t="shared" ca="1" si="18"/>
        <v>0</v>
      </c>
      <c r="O31" s="489">
        <f t="shared" si="18"/>
        <v>0</v>
      </c>
      <c r="P31" s="490">
        <f t="shared" si="18"/>
        <v>0</v>
      </c>
      <c r="Q31" s="490">
        <f t="shared" ca="1" si="18"/>
        <v>69495.159274811289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0.21617498225461404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0.21617498225461404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0.21617498225461404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6864</v>
      </c>
      <c r="C9" s="342">
        <v>7165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417</v>
      </c>
    </row>
    <row r="15" spans="1:6">
      <c r="A15" s="348" t="s">
        <v>184</v>
      </c>
      <c r="B15" s="334">
        <v>3</v>
      </c>
    </row>
    <row r="16" spans="1:6">
      <c r="A16" s="348" t="s">
        <v>6</v>
      </c>
      <c r="B16" s="334">
        <v>64</v>
      </c>
    </row>
    <row r="17" spans="1:6">
      <c r="A17" s="348" t="s">
        <v>7</v>
      </c>
      <c r="B17" s="334">
        <v>115</v>
      </c>
    </row>
    <row r="18" spans="1:6">
      <c r="A18" s="348" t="s">
        <v>8</v>
      </c>
      <c r="B18" s="334">
        <v>138</v>
      </c>
    </row>
    <row r="19" spans="1:6">
      <c r="A19" s="348" t="s">
        <v>9</v>
      </c>
      <c r="B19" s="334">
        <v>136</v>
      </c>
    </row>
    <row r="20" spans="1:6">
      <c r="A20" s="348" t="s">
        <v>10</v>
      </c>
      <c r="B20" s="334">
        <v>191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20</v>
      </c>
    </row>
    <row r="29" spans="1:6">
      <c r="A29" s="355" t="s">
        <v>828</v>
      </c>
      <c r="B29" s="355">
        <v>161</v>
      </c>
      <c r="C29" s="356"/>
      <c r="D29" s="356"/>
      <c r="E29" s="356"/>
      <c r="F29" s="356"/>
    </row>
    <row r="30" spans="1:6">
      <c r="A30" s="341" t="s">
        <v>829</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6753</v>
      </c>
    </row>
    <row r="39" spans="1:6">
      <c r="A39" s="348" t="s">
        <v>30</v>
      </c>
      <c r="B39" s="348" t="s">
        <v>31</v>
      </c>
      <c r="C39" s="334">
        <v>5294</v>
      </c>
      <c r="D39" s="334">
        <v>128906623.760823</v>
      </c>
      <c r="E39" s="334">
        <v>6723</v>
      </c>
      <c r="F39" s="334">
        <v>33844057</v>
      </c>
    </row>
    <row r="40" spans="1:6">
      <c r="A40" s="348" t="s">
        <v>30</v>
      </c>
      <c r="B40" s="348" t="s">
        <v>29</v>
      </c>
      <c r="C40" s="334">
        <v>0</v>
      </c>
      <c r="D40" s="334">
        <v>0</v>
      </c>
      <c r="E40" s="334">
        <v>0</v>
      </c>
      <c r="F40" s="334">
        <v>0</v>
      </c>
    </row>
    <row r="41" spans="1:6">
      <c r="A41" s="348" t="s">
        <v>32</v>
      </c>
      <c r="B41" s="348" t="s">
        <v>33</v>
      </c>
      <c r="C41" s="334">
        <v>47</v>
      </c>
      <c r="D41" s="334">
        <v>1529078.1256685699</v>
      </c>
      <c r="E41" s="334">
        <v>98</v>
      </c>
      <c r="F41" s="334">
        <v>1560242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48308.639999999999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114482.92717631299</v>
      </c>
      <c r="E47" s="334">
        <v>6</v>
      </c>
      <c r="F47" s="334">
        <v>73689.710000000006</v>
      </c>
    </row>
    <row r="48" spans="1:6">
      <c r="A48" s="348" t="s">
        <v>32</v>
      </c>
      <c r="B48" s="348" t="s">
        <v>29</v>
      </c>
      <c r="C48" s="334">
        <v>24</v>
      </c>
      <c r="D48" s="334">
        <v>424892.71930715803</v>
      </c>
      <c r="E48" s="334">
        <v>16</v>
      </c>
      <c r="F48" s="334">
        <v>70940.320000000007</v>
      </c>
    </row>
    <row r="49" spans="1:6">
      <c r="A49" s="348" t="s">
        <v>32</v>
      </c>
      <c r="B49" s="348" t="s">
        <v>40</v>
      </c>
      <c r="C49" s="334">
        <v>0</v>
      </c>
      <c r="D49" s="334">
        <v>0</v>
      </c>
      <c r="E49" s="334">
        <v>0</v>
      </c>
      <c r="F49" s="334">
        <v>0</v>
      </c>
    </row>
    <row r="50" spans="1:6">
      <c r="A50" s="348" t="s">
        <v>32</v>
      </c>
      <c r="B50" s="348" t="s">
        <v>41</v>
      </c>
      <c r="C50" s="334">
        <v>3</v>
      </c>
      <c r="D50" s="334">
        <v>124793.868193779</v>
      </c>
      <c r="E50" s="334">
        <v>3</v>
      </c>
      <c r="F50" s="334">
        <v>29503.05</v>
      </c>
    </row>
    <row r="51" spans="1:6">
      <c r="A51" s="348" t="s">
        <v>42</v>
      </c>
      <c r="B51" s="348" t="s">
        <v>43</v>
      </c>
      <c r="C51" s="334">
        <v>0</v>
      </c>
      <c r="D51" s="334">
        <v>0</v>
      </c>
      <c r="E51" s="334">
        <v>0</v>
      </c>
      <c r="F51" s="334">
        <v>0</v>
      </c>
    </row>
    <row r="52" spans="1:6">
      <c r="A52" s="348" t="s">
        <v>42</v>
      </c>
      <c r="B52" s="348" t="s">
        <v>29</v>
      </c>
      <c r="C52" s="334">
        <v>3</v>
      </c>
      <c r="D52" s="334">
        <v>52445.527250419203</v>
      </c>
      <c r="E52" s="334">
        <v>5</v>
      </c>
      <c r="F52" s="334">
        <v>69407.89</v>
      </c>
    </row>
    <row r="53" spans="1:6">
      <c r="A53" s="348" t="s">
        <v>44</v>
      </c>
      <c r="B53" s="348" t="s">
        <v>45</v>
      </c>
      <c r="C53" s="334">
        <v>191</v>
      </c>
      <c r="D53" s="334">
        <v>6441375.0984668601</v>
      </c>
      <c r="E53" s="334">
        <v>274</v>
      </c>
      <c r="F53" s="334">
        <v>1608696</v>
      </c>
    </row>
    <row r="54" spans="1:6">
      <c r="A54" s="348" t="s">
        <v>46</v>
      </c>
      <c r="B54" s="348" t="s">
        <v>47</v>
      </c>
      <c r="C54" s="334">
        <v>0</v>
      </c>
      <c r="D54" s="334">
        <v>0</v>
      </c>
      <c r="E54" s="334">
        <v>1</v>
      </c>
      <c r="F54" s="334">
        <v>1131913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3457647.78749257</v>
      </c>
      <c r="E57" s="334">
        <v>126</v>
      </c>
      <c r="F57" s="334">
        <v>2143518</v>
      </c>
    </row>
    <row r="58" spans="1:6">
      <c r="A58" s="348" t="s">
        <v>49</v>
      </c>
      <c r="B58" s="348" t="s">
        <v>51</v>
      </c>
      <c r="C58" s="334">
        <v>35</v>
      </c>
      <c r="D58" s="334">
        <v>1562884.08925479</v>
      </c>
      <c r="E58" s="334">
        <v>40</v>
      </c>
      <c r="F58" s="334">
        <v>391489.1</v>
      </c>
    </row>
    <row r="59" spans="1:6">
      <c r="A59" s="348" t="s">
        <v>49</v>
      </c>
      <c r="B59" s="348" t="s">
        <v>52</v>
      </c>
      <c r="C59" s="334">
        <v>112</v>
      </c>
      <c r="D59" s="334">
        <v>4333951.0801506098</v>
      </c>
      <c r="E59" s="334">
        <v>205</v>
      </c>
      <c r="F59" s="334">
        <v>4273952</v>
      </c>
    </row>
    <row r="60" spans="1:6">
      <c r="A60" s="348" t="s">
        <v>49</v>
      </c>
      <c r="B60" s="348" t="s">
        <v>53</v>
      </c>
      <c r="C60" s="334">
        <v>19</v>
      </c>
      <c r="D60" s="334">
        <v>796737.47302236804</v>
      </c>
      <c r="E60" s="334">
        <v>20</v>
      </c>
      <c r="F60" s="334">
        <v>413752.9</v>
      </c>
    </row>
    <row r="61" spans="1:6">
      <c r="A61" s="348" t="s">
        <v>49</v>
      </c>
      <c r="B61" s="348" t="s">
        <v>54</v>
      </c>
      <c r="C61" s="334">
        <v>302</v>
      </c>
      <c r="D61" s="334">
        <v>17461096.733300399</v>
      </c>
      <c r="E61" s="334">
        <v>441</v>
      </c>
      <c r="F61" s="334">
        <v>6759583</v>
      </c>
    </row>
    <row r="62" spans="1:6">
      <c r="A62" s="348" t="s">
        <v>49</v>
      </c>
      <c r="B62" s="348" t="s">
        <v>55</v>
      </c>
      <c r="C62" s="334">
        <v>11</v>
      </c>
      <c r="D62" s="334">
        <v>1484923.6987078299</v>
      </c>
      <c r="E62" s="334">
        <v>15</v>
      </c>
      <c r="F62" s="334">
        <v>1706979</v>
      </c>
    </row>
    <row r="63" spans="1:6">
      <c r="A63" s="348" t="s">
        <v>49</v>
      </c>
      <c r="B63" s="348" t="s">
        <v>29</v>
      </c>
      <c r="C63" s="334">
        <v>91</v>
      </c>
      <c r="D63" s="334">
        <v>3931506.9091825401</v>
      </c>
      <c r="E63" s="334">
        <v>75</v>
      </c>
      <c r="F63" s="334">
        <v>1175029</v>
      </c>
    </row>
    <row r="64" spans="1:6">
      <c r="A64" s="348" t="s">
        <v>56</v>
      </c>
      <c r="B64" s="348" t="s">
        <v>57</v>
      </c>
      <c r="C64" s="334">
        <v>0</v>
      </c>
      <c r="D64" s="334">
        <v>0</v>
      </c>
      <c r="E64" s="334">
        <v>0</v>
      </c>
      <c r="F64" s="334">
        <v>0</v>
      </c>
    </row>
    <row r="65" spans="1:6">
      <c r="A65" s="348" t="s">
        <v>56</v>
      </c>
      <c r="B65" s="348" t="s">
        <v>29</v>
      </c>
      <c r="C65" s="334">
        <v>4</v>
      </c>
      <c r="D65" s="334">
        <v>80374.944461593695</v>
      </c>
      <c r="E65" s="334">
        <v>3</v>
      </c>
      <c r="F65" s="334">
        <v>15521.41</v>
      </c>
    </row>
    <row r="66" spans="1:6">
      <c r="A66" s="348" t="s">
        <v>56</v>
      </c>
      <c r="B66" s="348" t="s">
        <v>58</v>
      </c>
      <c r="C66" s="334">
        <v>0</v>
      </c>
      <c r="D66" s="334">
        <v>0</v>
      </c>
      <c r="E66" s="334">
        <v>8</v>
      </c>
      <c r="F66" s="334">
        <v>183034.9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42481429</v>
      </c>
      <c r="E73" s="477">
        <v>43765817.854659125</v>
      </c>
    </row>
    <row r="74" spans="1:6">
      <c r="A74" s="348" t="s">
        <v>64</v>
      </c>
      <c r="B74" s="348" t="s">
        <v>714</v>
      </c>
      <c r="C74" s="1229" t="s">
        <v>716</v>
      </c>
      <c r="D74" s="477">
        <v>295978.33656350139</v>
      </c>
      <c r="E74" s="477">
        <v>306408.12029838748</v>
      </c>
    </row>
    <row r="75" spans="1:6">
      <c r="A75" s="348" t="s">
        <v>65</v>
      </c>
      <c r="B75" s="348" t="s">
        <v>713</v>
      </c>
      <c r="C75" s="1229" t="s">
        <v>717</v>
      </c>
      <c r="D75" s="477">
        <v>62562687</v>
      </c>
      <c r="E75" s="477">
        <v>63801533.070832357</v>
      </c>
    </row>
    <row r="76" spans="1:6">
      <c r="A76" s="348" t="s">
        <v>65</v>
      </c>
      <c r="B76" s="348" t="s">
        <v>714</v>
      </c>
      <c r="C76" s="1229" t="s">
        <v>718</v>
      </c>
      <c r="D76" s="477">
        <v>1077320.3365635013</v>
      </c>
      <c r="E76" s="477">
        <v>1070800.2338129107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491151.32687299728</v>
      </c>
      <c r="C83" s="477">
        <v>488215.52488168475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927.76477053883127</v>
      </c>
    </row>
    <row r="92" spans="1:6">
      <c r="A92" s="341" t="s">
        <v>69</v>
      </c>
      <c r="B92" s="342">
        <v>265.05223256138083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3717</v>
      </c>
    </row>
    <row r="98" spans="1:6">
      <c r="A98" s="348" t="s">
        <v>72</v>
      </c>
      <c r="B98" s="334">
        <v>2</v>
      </c>
    </row>
    <row r="99" spans="1:6">
      <c r="A99" s="348" t="s">
        <v>73</v>
      </c>
      <c r="B99" s="334">
        <v>15</v>
      </c>
    </row>
    <row r="100" spans="1:6">
      <c r="A100" s="348" t="s">
        <v>74</v>
      </c>
      <c r="B100" s="334">
        <v>320</v>
      </c>
    </row>
    <row r="101" spans="1:6">
      <c r="A101" s="348" t="s">
        <v>75</v>
      </c>
      <c r="B101" s="334">
        <v>35</v>
      </c>
    </row>
    <row r="102" spans="1:6">
      <c r="A102" s="348" t="s">
        <v>76</v>
      </c>
      <c r="B102" s="334">
        <v>97</v>
      </c>
    </row>
    <row r="103" spans="1:6">
      <c r="A103" s="348" t="s">
        <v>77</v>
      </c>
      <c r="B103" s="334">
        <v>46</v>
      </c>
    </row>
    <row r="104" spans="1:6">
      <c r="A104" s="348" t="s">
        <v>78</v>
      </c>
      <c r="B104" s="334">
        <v>1914</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4</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44</v>
      </c>
    </row>
    <row r="130" spans="1:6">
      <c r="A130" s="348" t="s">
        <v>295</v>
      </c>
      <c r="B130" s="334">
        <v>1</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54634.526046506988</v>
      </c>
      <c r="C3" s="43" t="s">
        <v>170</v>
      </c>
      <c r="D3" s="43"/>
      <c r="E3" s="154"/>
      <c r="F3" s="43"/>
      <c r="G3" s="43"/>
      <c r="H3" s="43"/>
      <c r="I3" s="43"/>
      <c r="J3" s="43"/>
      <c r="K3" s="96"/>
    </row>
    <row r="4" spans="1:11">
      <c r="A4" s="384" t="s">
        <v>171</v>
      </c>
      <c r="B4" s="49">
        <f>IF(ISERROR('SEAP template'!B69),0,'SEAP template'!B69)</f>
        <v>1192.8170031002121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0.21617498225461404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1131.913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1131.913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0.21617498225461404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244.69127268876696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33844.057000000001</v>
      </c>
      <c r="C5" s="17">
        <f>IF(ISERROR('Eigen informatie GS &amp; warmtenet'!B57),0,'Eigen informatie GS &amp; warmtenet'!B57)</f>
        <v>0</v>
      </c>
      <c r="D5" s="30">
        <f>(SUM(HH_hh_gas_kWh,HH_rest_gas_kWh)/1000)*0.902</f>
        <v>116273.77463226234</v>
      </c>
      <c r="E5" s="17">
        <f>B46*B57</f>
        <v>645.59370818526736</v>
      </c>
      <c r="F5" s="17">
        <f>B51*B62</f>
        <v>12177.775599565908</v>
      </c>
      <c r="G5" s="18"/>
      <c r="H5" s="17"/>
      <c r="I5" s="17"/>
      <c r="J5" s="17">
        <f>B50*B61+C50*C61</f>
        <v>0</v>
      </c>
      <c r="K5" s="17"/>
      <c r="L5" s="17"/>
      <c r="M5" s="17"/>
      <c r="N5" s="17">
        <f>B48*B59+C48*C59</f>
        <v>5712.6058602804942</v>
      </c>
      <c r="O5" s="17">
        <f>B69*B70*B71</f>
        <v>81.293333333333337</v>
      </c>
      <c r="P5" s="17">
        <f>B77*B78*B79/1000-B77*B78*B79/1000/B80</f>
        <v>152.53333333333333</v>
      </c>
    </row>
    <row r="6" spans="1:16">
      <c r="A6" s="16" t="s">
        <v>631</v>
      </c>
      <c r="B6" s="844">
        <f>kWh_PV_kleiner_dan_10kW</f>
        <v>927.76477053883127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34771.821770538831</v>
      </c>
      <c r="C8" s="21">
        <f>C5</f>
        <v>0</v>
      </c>
      <c r="D8" s="21">
        <f>D5</f>
        <v>116273.77463226234</v>
      </c>
      <c r="E8" s="21">
        <f>E5</f>
        <v>645.59370818526736</v>
      </c>
      <c r="F8" s="21">
        <f>F5</f>
        <v>12177.775599565908</v>
      </c>
      <c r="G8" s="21"/>
      <c r="H8" s="21"/>
      <c r="I8" s="21"/>
      <c r="J8" s="21">
        <f>J5</f>
        <v>0</v>
      </c>
      <c r="K8" s="21"/>
      <c r="L8" s="21">
        <f>L5</f>
        <v>0</v>
      </c>
      <c r="M8" s="21">
        <f>M5</f>
        <v>0</v>
      </c>
      <c r="N8" s="21">
        <f>N5</f>
        <v>5712.6058602804942</v>
      </c>
      <c r="O8" s="21">
        <f>O5</f>
        <v>81.293333333333337</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0.21617498225461404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7516.7979542068342</v>
      </c>
      <c r="C12" s="23">
        <f ca="1">C10*C8</f>
        <v>0</v>
      </c>
      <c r="D12" s="23">
        <f>D8*D10</f>
        <v>23487.302475716995</v>
      </c>
      <c r="E12" s="23">
        <f>E10*E8</f>
        <v>146.5497717580557</v>
      </c>
      <c r="F12" s="23">
        <f>F10*F8</f>
        <v>3251.4660850840978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3717</v>
      </c>
      <c r="C18" s="166" t="s">
        <v>111</v>
      </c>
      <c r="D18" s="228"/>
      <c r="E18" s="15"/>
    </row>
    <row r="19" spans="1:7">
      <c r="A19" s="171" t="s">
        <v>72</v>
      </c>
      <c r="B19" s="37">
        <f>aantalw2001_ander</f>
        <v>2</v>
      </c>
      <c r="C19" s="166" t="s">
        <v>111</v>
      </c>
      <c r="D19" s="229"/>
      <c r="E19" s="15"/>
    </row>
    <row r="20" spans="1:7">
      <c r="A20" s="171" t="s">
        <v>73</v>
      </c>
      <c r="B20" s="37">
        <f>aantalw2001_propaan</f>
        <v>15</v>
      </c>
      <c r="C20" s="167">
        <f>IF(ISERROR(B20/SUM($B$20,$B$21,$B$22)*100),0,B20/SUM($B$20,$B$21,$B$22)*100)</f>
        <v>4.0540540540540544</v>
      </c>
      <c r="D20" s="229"/>
      <c r="E20" s="15"/>
    </row>
    <row r="21" spans="1:7">
      <c r="A21" s="171" t="s">
        <v>74</v>
      </c>
      <c r="B21" s="37">
        <f>aantalw2001_elektriciteit</f>
        <v>320</v>
      </c>
      <c r="C21" s="167">
        <f>IF(ISERROR(B21/SUM($B$20,$B$21,$B$22)*100),0,B21/SUM($B$20,$B$21,$B$22)*100)</f>
        <v>86.486486486486484</v>
      </c>
      <c r="D21" s="229"/>
      <c r="E21" s="15"/>
    </row>
    <row r="22" spans="1:7">
      <c r="A22" s="171" t="s">
        <v>75</v>
      </c>
      <c r="B22" s="37">
        <f>aantalw2001_hout</f>
        <v>35</v>
      </c>
      <c r="C22" s="167">
        <f>IF(ISERROR(B22/SUM($B$20,$B$21,$B$22)*100),0,B22/SUM($B$20,$B$21,$B$22)*100)</f>
        <v>9.4594594594594597</v>
      </c>
      <c r="D22" s="229"/>
      <c r="E22" s="15"/>
    </row>
    <row r="23" spans="1:7">
      <c r="A23" s="171" t="s">
        <v>76</v>
      </c>
      <c r="B23" s="37">
        <f>aantalw2001_niet_gespec</f>
        <v>97</v>
      </c>
      <c r="C23" s="166" t="s">
        <v>111</v>
      </c>
      <c r="D23" s="228"/>
      <c r="E23" s="15"/>
    </row>
    <row r="24" spans="1:7">
      <c r="A24" s="171" t="s">
        <v>77</v>
      </c>
      <c r="B24" s="37">
        <f>aantalw2001_steenkool</f>
        <v>46</v>
      </c>
      <c r="C24" s="166" t="s">
        <v>111</v>
      </c>
      <c r="D24" s="229"/>
      <c r="E24" s="15"/>
    </row>
    <row r="25" spans="1:7">
      <c r="A25" s="171" t="s">
        <v>78</v>
      </c>
      <c r="B25" s="37">
        <f>aantalw2001_stookolie</f>
        <v>1914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6864</v>
      </c>
      <c r="C28" s="36"/>
      <c r="D28" s="228"/>
    </row>
    <row r="29" spans="1:7" s="15" customFormat="1">
      <c r="A29" s="230" t="s">
        <v>741</v>
      </c>
      <c r="B29" s="37">
        <f>SUM(HH_hh_gas_aantal,HH_rest_gas_aantal)</f>
        <v>5294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5294</v>
      </c>
      <c r="C32" s="167">
        <f>IF(ISERROR(B32/SUM($B$32,$B$34,$B$35,$B$36,$B$38,$B$39)*100),0,B32/SUM($B$32,$B$34,$B$35,$B$36,$B$38,$B$39)*100)</f>
        <v>77.217036172695458</v>
      </c>
      <c r="D32" s="233"/>
      <c r="G32" s="15"/>
    </row>
    <row r="33" spans="1:7">
      <c r="A33" s="171" t="s">
        <v>72</v>
      </c>
      <c r="B33" s="34" t="s">
        <v>111</v>
      </c>
      <c r="C33" s="167"/>
      <c r="D33" s="233"/>
      <c r="G33" s="15"/>
    </row>
    <row r="34" spans="1:7">
      <c r="A34" s="171" t="s">
        <v>73</v>
      </c>
      <c r="B34" s="33">
        <f>IF((($B$28-$B$32-$B$39-$B$77-$B$38)*C20/100)&lt;0,0,($B$28-$B$32-$B$39-$B$77-$B$38)*C20/100)</f>
        <v>43.268918918918914</v>
      </c>
      <c r="C34" s="167">
        <f>IF(ISERROR(B34/SUM($B$32,$B$34,$B$35,$B$36,$B$38,$B$39)*100),0,B34/SUM($B$32,$B$34,$B$35,$B$36,$B$38,$B$39)*100)</f>
        <v>0.63111025260966924</v>
      </c>
      <c r="D34" s="233"/>
      <c r="G34" s="15"/>
    </row>
    <row r="35" spans="1:7">
      <c r="A35" s="171" t="s">
        <v>74</v>
      </c>
      <c r="B35" s="33">
        <f>IF((($B$28-$B$32-$B$39-$B$77-$B$38)*C21/100)&lt;0,0,($B$28-$B$32-$B$39-$B$77-$B$38)*C21/100)</f>
        <v>923.07027027027027</v>
      </c>
      <c r="C35" s="167">
        <f>IF(ISERROR(B35/SUM($B$32,$B$34,$B$35,$B$36,$B$38,$B$39)*100),0,B35/SUM($B$32,$B$34,$B$35,$B$36,$B$38,$B$39)*100)</f>
        <v>13.463685389006278</v>
      </c>
      <c r="D35" s="233"/>
      <c r="G35" s="15"/>
    </row>
    <row r="36" spans="1:7">
      <c r="A36" s="171" t="s">
        <v>75</v>
      </c>
      <c r="B36" s="33">
        <f>IF((($B$28-$B$32-$B$39-$B$77-$B$38)*C22/100)&lt;0,0,($B$28-$B$32-$B$39-$B$77-$B$38)*C22/100)</f>
        <v>100.96081081081081</v>
      </c>
      <c r="C36" s="167">
        <f>IF(ISERROR(B36/SUM($B$32,$B$34,$B$35,$B$36,$B$38,$B$39)*100),0,B36/SUM($B$32,$B$34,$B$35,$B$36,$B$38,$B$39)*100)</f>
        <v>1.4725905894225617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494.70000000000005</v>
      </c>
      <c r="C39" s="167">
        <f>IF(ISERROR(B39/SUM($B$32,$B$34,$B$35,$B$36,$B$38,$B$39)*100),0,B39/SUM($B$32,$B$34,$B$35,$B$36,$B$38,$B$39)*100)</f>
        <v>7.215577596266046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5294</v>
      </c>
      <c r="C44" s="34" t="s">
        <v>111</v>
      </c>
      <c r="D44" s="174"/>
    </row>
    <row r="45" spans="1:7">
      <c r="A45" s="171" t="s">
        <v>72</v>
      </c>
      <c r="B45" s="33" t="str">
        <f t="shared" si="0"/>
        <v>-</v>
      </c>
      <c r="C45" s="34" t="s">
        <v>111</v>
      </c>
      <c r="D45" s="174"/>
    </row>
    <row r="46" spans="1:7">
      <c r="A46" s="171" t="s">
        <v>73</v>
      </c>
      <c r="B46" s="33">
        <f t="shared" si="0"/>
        <v>43.268918918918914</v>
      </c>
      <c r="C46" s="34" t="s">
        <v>111</v>
      </c>
      <c r="D46" s="174"/>
    </row>
    <row r="47" spans="1:7">
      <c r="A47" s="171" t="s">
        <v>74</v>
      </c>
      <c r="B47" s="33">
        <f t="shared" si="0"/>
        <v>923.07027027027027</v>
      </c>
      <c r="C47" s="34" t="s">
        <v>111</v>
      </c>
      <c r="D47" s="174"/>
    </row>
    <row r="48" spans="1:7">
      <c r="A48" s="171" t="s">
        <v>75</v>
      </c>
      <c r="B48" s="33">
        <f t="shared" si="0"/>
        <v>100.96081081081081</v>
      </c>
      <c r="C48" s="33">
        <f>B48*10</f>
        <v>1009.6081081081081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494.70000000000005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16864.303</v>
      </c>
      <c r="C5" s="17">
        <f>IF(ISERROR('Eigen informatie GS &amp; warmtenet'!B58),0,'Eigen informatie GS &amp; warmtenet'!B58)</f>
        <v>0</v>
      </c>
      <c r="D5" s="30">
        <f>SUM(D6:D12)</f>
        <v>29791.930489542221</v>
      </c>
      <c r="E5" s="17">
        <f>SUM(E6:E12)</f>
        <v>102.3186913413067</v>
      </c>
      <c r="F5" s="17">
        <f>SUM(F6:F12)</f>
        <v>2553.6497723224825</v>
      </c>
      <c r="G5" s="18"/>
      <c r="H5" s="17"/>
      <c r="I5" s="17"/>
      <c r="J5" s="17">
        <f>SUM(J6:J12)</f>
        <v>0</v>
      </c>
      <c r="K5" s="17"/>
      <c r="L5" s="17"/>
      <c r="M5" s="17"/>
      <c r="N5" s="17">
        <f>SUM(N6:N12)</f>
        <v>1717.4171398884178</v>
      </c>
      <c r="O5" s="17">
        <f>B38*B39*B40</f>
        <v>1.5633333333333335</v>
      </c>
      <c r="P5" s="17">
        <f>B46*B47*B48/1000-B46*B47*B48/1000/B49</f>
        <v>0</v>
      </c>
      <c r="R5" s="32"/>
    </row>
    <row r="6" spans="1:18">
      <c r="A6" s="32" t="s">
        <v>54</v>
      </c>
      <c r="B6" s="37">
        <f>B26</f>
        <v>6759.5829999999996</v>
      </c>
      <c r="C6" s="33"/>
      <c r="D6" s="37">
        <f>IF(ISERROR(TER_kantoor_gas_kWh/1000),0,TER_kantoor_gas_kWh/1000)*0.902</f>
        <v>15749.909253436959</v>
      </c>
      <c r="E6" s="33">
        <f>$C$26*'E Balans VL '!I12/100/3.6*1000000</f>
        <v>19.583503722451947</v>
      </c>
      <c r="F6" s="33">
        <f>$C$26*('E Balans VL '!L12+'E Balans VL '!N12)/100/3.6*1000000</f>
        <v>765.035870439993</v>
      </c>
      <c r="G6" s="34"/>
      <c r="H6" s="33"/>
      <c r="I6" s="33"/>
      <c r="J6" s="33">
        <f>$C$26*('E Balans VL '!D12+'E Balans VL '!E12)/100/3.6*1000000</f>
        <v>0</v>
      </c>
      <c r="K6" s="33"/>
      <c r="L6" s="33"/>
      <c r="M6" s="33"/>
      <c r="N6" s="33">
        <f>$C$26*'E Balans VL '!Y12/100/3.6*1000000</f>
        <v>67.658445146864224</v>
      </c>
      <c r="O6" s="33"/>
      <c r="P6" s="33"/>
      <c r="R6" s="32"/>
    </row>
    <row r="7" spans="1:18">
      <c r="A7" s="32" t="s">
        <v>53</v>
      </c>
      <c r="B7" s="37">
        <f t="shared" ref="B7:B12" si="0">B27</f>
        <v>413.75290000000001</v>
      </c>
      <c r="C7" s="33"/>
      <c r="D7" s="37">
        <f>IF(ISERROR(TER_horeca_gas_kWh/1000),0,TER_horeca_gas_kWh/1000)*0.902</f>
        <v>718.65720066617598</v>
      </c>
      <c r="E7" s="33">
        <f>$C$27*'E Balans VL '!I9/100/3.6*1000000</f>
        <v>17.368190739244447</v>
      </c>
      <c r="F7" s="33">
        <f>$C$27*('E Balans VL '!L9+'E Balans VL '!N9)/100/3.6*1000000</f>
        <v>88.903295367338202</v>
      </c>
      <c r="G7" s="34"/>
      <c r="H7" s="33"/>
      <c r="I7" s="33"/>
      <c r="J7" s="33">
        <f>$C$27*('E Balans VL '!D9+'E Balans VL '!E9)/100/3.6*1000000</f>
        <v>0</v>
      </c>
      <c r="K7" s="33"/>
      <c r="L7" s="33"/>
      <c r="M7" s="33"/>
      <c r="N7" s="33">
        <f>$C$27*'E Balans VL '!Y9/100/3.6*1000000</f>
        <v>0.10662050392962368</v>
      </c>
      <c r="O7" s="33"/>
      <c r="P7" s="33"/>
      <c r="R7" s="32"/>
    </row>
    <row r="8" spans="1:18">
      <c r="A8" s="6" t="s">
        <v>52</v>
      </c>
      <c r="B8" s="37">
        <f t="shared" si="0"/>
        <v>4273.9520000000002</v>
      </c>
      <c r="C8" s="33"/>
      <c r="D8" s="37">
        <f>IF(ISERROR(TER_handel_gas_kWh/1000),0,TER_handel_gas_kWh/1000)*0.902</f>
        <v>3909.2238742958498</v>
      </c>
      <c r="E8" s="33">
        <f>$C$28*'E Balans VL '!I13/100/3.6*1000000</f>
        <v>45.905801589133119</v>
      </c>
      <c r="F8" s="33">
        <f>$C$28*('E Balans VL '!L13+'E Balans VL '!N13)/100/3.6*1000000</f>
        <v>553.29837996804645</v>
      </c>
      <c r="G8" s="34"/>
      <c r="H8" s="33"/>
      <c r="I8" s="33"/>
      <c r="J8" s="33">
        <f>$C$28*('E Balans VL '!D13+'E Balans VL '!E13)/100/3.6*1000000</f>
        <v>0</v>
      </c>
      <c r="K8" s="33"/>
      <c r="L8" s="33"/>
      <c r="M8" s="33"/>
      <c r="N8" s="33">
        <f>$C$28*'E Balans VL '!Y13/100/3.6*1000000</f>
        <v>34.670531991925934</v>
      </c>
      <c r="O8" s="33"/>
      <c r="P8" s="33"/>
      <c r="R8" s="32"/>
    </row>
    <row r="9" spans="1:18">
      <c r="A9" s="32" t="s">
        <v>51</v>
      </c>
      <c r="B9" s="37">
        <f t="shared" si="0"/>
        <v>391.48909999999995</v>
      </c>
      <c r="C9" s="33"/>
      <c r="D9" s="37">
        <f>IF(ISERROR(TER_gezond_gas_kWh/1000),0,TER_gezond_gas_kWh/1000)*0.902</f>
        <v>1409.7214485078207</v>
      </c>
      <c r="E9" s="33">
        <f>$C$29*'E Balans VL '!I10/100/3.6*1000000</f>
        <v>0.31165064443662266</v>
      </c>
      <c r="F9" s="33">
        <f>$C$29*('E Balans VL '!L10+'E Balans VL '!N10)/100/3.6*1000000</f>
        <v>47.591157632070733</v>
      </c>
      <c r="G9" s="34"/>
      <c r="H9" s="33"/>
      <c r="I9" s="33"/>
      <c r="J9" s="33">
        <f>$C$29*('E Balans VL '!D10+'E Balans VL '!E10)/100/3.6*1000000</f>
        <v>0</v>
      </c>
      <c r="K9" s="33"/>
      <c r="L9" s="33"/>
      <c r="M9" s="33"/>
      <c r="N9" s="33">
        <f>$C$29*'E Balans VL '!Y10/100/3.6*1000000</f>
        <v>3.1623452315776253</v>
      </c>
      <c r="O9" s="33"/>
      <c r="P9" s="33"/>
      <c r="R9" s="32"/>
    </row>
    <row r="10" spans="1:18">
      <c r="A10" s="32" t="s">
        <v>50</v>
      </c>
      <c r="B10" s="37">
        <f t="shared" si="0"/>
        <v>2143.518</v>
      </c>
      <c r="C10" s="33"/>
      <c r="D10" s="37">
        <f>IF(ISERROR(TER_ander_gas_kWh/1000),0,TER_ander_gas_kWh/1000)*0.902</f>
        <v>3118.7983043182981</v>
      </c>
      <c r="E10" s="33">
        <f>$C$30*'E Balans VL '!I14/100/3.6*1000000</f>
        <v>7.3459487920012121</v>
      </c>
      <c r="F10" s="33">
        <f>$C$30*('E Balans VL '!L14+'E Balans VL '!N14)/100/3.6*1000000</f>
        <v>478.77481888882755</v>
      </c>
      <c r="G10" s="34"/>
      <c r="H10" s="33"/>
      <c r="I10" s="33"/>
      <c r="J10" s="33">
        <f>$C$30*('E Balans VL '!D14+'E Balans VL '!E14)/100/3.6*1000000</f>
        <v>0</v>
      </c>
      <c r="K10" s="33"/>
      <c r="L10" s="33"/>
      <c r="M10" s="33"/>
      <c r="N10" s="33">
        <f>$C$30*'E Balans VL '!Y14/100/3.6*1000000</f>
        <v>1509.9057890099389</v>
      </c>
      <c r="O10" s="33"/>
      <c r="P10" s="33"/>
      <c r="R10" s="32"/>
    </row>
    <row r="11" spans="1:18">
      <c r="A11" s="32" t="s">
        <v>55</v>
      </c>
      <c r="B11" s="37">
        <f t="shared" si="0"/>
        <v>1706.979</v>
      </c>
      <c r="C11" s="33"/>
      <c r="D11" s="37">
        <f>IF(ISERROR(TER_onderwijs_gas_kWh/1000),0,TER_onderwijs_gas_kWh/1000)*0.902</f>
        <v>1339.4011762344626</v>
      </c>
      <c r="E11" s="33">
        <f>$C$31*'E Balans VL '!I11/100/3.6*1000000</f>
        <v>1.1799820118841884</v>
      </c>
      <c r="F11" s="33">
        <f>$C$31*('E Balans VL '!L11+'E Balans VL '!N11)/100/3.6*1000000</f>
        <v>446.83751782443068</v>
      </c>
      <c r="G11" s="34"/>
      <c r="H11" s="33"/>
      <c r="I11" s="33"/>
      <c r="J11" s="33">
        <f>$C$31*('E Balans VL '!D11+'E Balans VL '!E11)/100/3.6*1000000</f>
        <v>0</v>
      </c>
      <c r="K11" s="33"/>
      <c r="L11" s="33"/>
      <c r="M11" s="33"/>
      <c r="N11" s="33">
        <f>$C$31*'E Balans VL '!Y11/100/3.6*1000000</f>
        <v>1.6991522053703334</v>
      </c>
      <c r="O11" s="33"/>
      <c r="P11" s="33"/>
      <c r="R11" s="32"/>
    </row>
    <row r="12" spans="1:18">
      <c r="A12" s="32" t="s">
        <v>260</v>
      </c>
      <c r="B12" s="37">
        <f t="shared" si="0"/>
        <v>1175.029</v>
      </c>
      <c r="C12" s="33"/>
      <c r="D12" s="37">
        <f>IF(ISERROR(TER_rest_gas_kWh/1000),0,TER_rest_gas_kWh/1000)*0.902</f>
        <v>3546.2192320826516</v>
      </c>
      <c r="E12" s="33">
        <f>$C$32*'E Balans VL '!I8/100/3.6*1000000</f>
        <v>10.62361384215516</v>
      </c>
      <c r="F12" s="33">
        <f>$C$32*('E Balans VL '!L8+'E Balans VL '!N8)/100/3.6*1000000</f>
        <v>173.20873220177603</v>
      </c>
      <c r="G12" s="34"/>
      <c r="H12" s="33"/>
      <c r="I12" s="33"/>
      <c r="J12" s="33">
        <f>$C$32*('E Balans VL '!D8+'E Balans VL '!E8)/100/3.6*1000000</f>
        <v>0</v>
      </c>
      <c r="K12" s="33"/>
      <c r="L12" s="33"/>
      <c r="M12" s="33"/>
      <c r="N12" s="33">
        <f>$C$32*'E Balans VL '!Y8/100/3.6*1000000</f>
        <v>100.21425579881101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16864.303</v>
      </c>
      <c r="C16" s="21">
        <f t="shared" ca="1" si="1"/>
        <v>0</v>
      </c>
      <c r="D16" s="21">
        <f t="shared" ca="1" si="1"/>
        <v>29791.930489542221</v>
      </c>
      <c r="E16" s="21">
        <f t="shared" si="1"/>
        <v>102.3186913413067</v>
      </c>
      <c r="F16" s="21">
        <f t="shared" ca="1" si="1"/>
        <v>2553.6497723224825</v>
      </c>
      <c r="G16" s="21">
        <f t="shared" si="1"/>
        <v>0</v>
      </c>
      <c r="H16" s="21">
        <f t="shared" si="1"/>
        <v>0</v>
      </c>
      <c r="I16" s="21">
        <f t="shared" si="1"/>
        <v>0</v>
      </c>
      <c r="J16" s="21">
        <f t="shared" si="1"/>
        <v>0</v>
      </c>
      <c r="K16" s="21">
        <f t="shared" si="1"/>
        <v>0</v>
      </c>
      <c r="L16" s="21">
        <f t="shared" ca="1" si="1"/>
        <v>0</v>
      </c>
      <c r="M16" s="21">
        <f t="shared" si="1"/>
        <v>0</v>
      </c>
      <c r="N16" s="21">
        <f t="shared" ca="1" si="1"/>
        <v>1717.4171398884178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0.21617498225461404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3645.6404017614341</v>
      </c>
      <c r="C20" s="23">
        <f t="shared" ref="C20:P20" ca="1" si="2">C16*C18</f>
        <v>0</v>
      </c>
      <c r="D20" s="23">
        <f t="shared" ca="1" si="2"/>
        <v>6017.9699588875292</v>
      </c>
      <c r="E20" s="23">
        <f t="shared" si="2"/>
        <v>23.226342934476623</v>
      </c>
      <c r="F20" s="23">
        <f t="shared" ca="1" si="2"/>
        <v>681.82448921010291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6759.5829999999996</v>
      </c>
      <c r="C26" s="39">
        <f>IF(ISERROR(B26*3.6/1000000/'E Balans VL '!Z12*100),0,B26*3.6/1000000/'E Balans VL '!Z12*100)</f>
        <v>0.14848205545550658</v>
      </c>
      <c r="D26" s="237" t="s">
        <v>692</v>
      </c>
      <c r="F26" s="6"/>
    </row>
    <row r="27" spans="1:18">
      <c r="A27" s="231" t="s">
        <v>53</v>
      </c>
      <c r="B27" s="33">
        <f>IF(ISERROR(TER_horeca_ele_kWh/1000),0,TER_horeca_ele_kWh/1000)</f>
        <v>413.75290000000001</v>
      </c>
      <c r="C27" s="39">
        <f>IF(ISERROR(B27*3.6/1000000/'E Balans VL '!Z9*100),0,B27*3.6/1000000/'E Balans VL '!Z9*100)</f>
        <v>3.3249169852620081E-2</v>
      </c>
      <c r="D27" s="237" t="s">
        <v>692</v>
      </c>
      <c r="F27" s="6"/>
    </row>
    <row r="28" spans="1:18">
      <c r="A28" s="171" t="s">
        <v>52</v>
      </c>
      <c r="B28" s="33">
        <f>IF(ISERROR(TER_handel_ele_kWh/1000),0,TER_handel_ele_kWh/1000)</f>
        <v>4273.9520000000002</v>
      </c>
      <c r="C28" s="39">
        <f>IF(ISERROR(B28*3.6/1000000/'E Balans VL '!Z13*100),0,B28*3.6/1000000/'E Balans VL '!Z13*100)</f>
        <v>0.12637777479444029</v>
      </c>
      <c r="D28" s="237" t="s">
        <v>692</v>
      </c>
      <c r="F28" s="6"/>
    </row>
    <row r="29" spans="1:18">
      <c r="A29" s="231" t="s">
        <v>51</v>
      </c>
      <c r="B29" s="33">
        <f>IF(ISERROR(TER_gezond_ele_kWh/1000),0,TER_gezond_ele_kWh/1000)</f>
        <v>391.48909999999995</v>
      </c>
      <c r="C29" s="39">
        <f>IF(ISERROR(B29*3.6/1000000/'E Balans VL '!Z10*100),0,B29*3.6/1000000/'E Balans VL '!Z10*100)</f>
        <v>4.4110714212403812E-2</v>
      </c>
      <c r="D29" s="237" t="s">
        <v>692</v>
      </c>
      <c r="F29" s="6"/>
    </row>
    <row r="30" spans="1:18">
      <c r="A30" s="231" t="s">
        <v>50</v>
      </c>
      <c r="B30" s="33">
        <f>IF(ISERROR(TER_ander_ele_kWh/1000),0,TER_ander_ele_kWh/1000)</f>
        <v>2143.518</v>
      </c>
      <c r="C30" s="39">
        <f>IF(ISERROR(B30*3.6/1000000/'E Balans VL '!Z14*100),0,B30*3.6/1000000/'E Balans VL '!Z14*100)</f>
        <v>0.16211060216149017</v>
      </c>
      <c r="D30" s="237" t="s">
        <v>692</v>
      </c>
      <c r="F30" s="6"/>
    </row>
    <row r="31" spans="1:18">
      <c r="A31" s="231" t="s">
        <v>55</v>
      </c>
      <c r="B31" s="33">
        <f>IF(ISERROR(TER_onderwijs_ele_kWh/1000),0,TER_onderwijs_ele_kWh/1000)</f>
        <v>1706.979</v>
      </c>
      <c r="C31" s="39">
        <f>IF(ISERROR(B31*3.6/1000000/'E Balans VL '!Z11*100),0,B31*3.6/1000000/'E Balans VL '!Z11*100)</f>
        <v>0.35432921458366812</v>
      </c>
      <c r="D31" s="237" t="s">
        <v>692</v>
      </c>
    </row>
    <row r="32" spans="1:18">
      <c r="A32" s="231" t="s">
        <v>260</v>
      </c>
      <c r="B32" s="33">
        <f>IF(ISERROR(TER_rest_ele_kWh/1000),0,TER_rest_ele_kWh/1000)</f>
        <v>1175.029</v>
      </c>
      <c r="C32" s="39">
        <f>IF(ISERROR(B32*3.6/1000000/'E Balans VL '!Z8*100),0,B32*3.6/1000000/'E Balans VL '!Z8*100)</f>
        <v>9.8989280788481047E-3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1782.68372</v>
      </c>
      <c r="C5" s="17">
        <f>IF(ISERROR('Eigen informatie GS &amp; warmtenet'!B59),0,'Eigen informatie GS &amp; warmtenet'!B59)</f>
        <v>0</v>
      </c>
      <c r="D5" s="30">
        <f>SUM(D6:D15)</f>
        <v>1978.3093715919299</v>
      </c>
      <c r="E5" s="17">
        <f>SUM(E6:E15)</f>
        <v>434.27389120250763</v>
      </c>
      <c r="F5" s="17">
        <f>SUM(F6:F15)</f>
        <v>1318.2448355323686</v>
      </c>
      <c r="G5" s="18"/>
      <c r="H5" s="17"/>
      <c r="I5" s="17"/>
      <c r="J5" s="17">
        <f>SUM(J6:J15)</f>
        <v>1.0037225992217333</v>
      </c>
      <c r="K5" s="17"/>
      <c r="L5" s="17"/>
      <c r="M5" s="17"/>
      <c r="N5" s="17">
        <f>SUM(N6:N15)</f>
        <v>566.30052857571786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48.308639999999997</v>
      </c>
      <c r="C8" s="33"/>
      <c r="D8" s="37">
        <f>IF( ISERROR(IND_metaal_Gas_kWH/1000),0,IND_metaal_Gas_kWH/1000)*0.902</f>
        <v>0</v>
      </c>
      <c r="E8" s="33">
        <f>C30*'E Balans VL '!I18/100/3.6*1000000</f>
        <v>1.2089961825822302</v>
      </c>
      <c r="F8" s="33">
        <f>C30*'E Balans VL '!L18/100/3.6*1000000+C30*'E Balans VL '!N18/100/3.6*1000000</f>
        <v>15.140168075533477</v>
      </c>
      <c r="G8" s="34"/>
      <c r="H8" s="33"/>
      <c r="I8" s="33"/>
      <c r="J8" s="40">
        <f>C30*'E Balans VL '!D18/100/3.6*1000000+C30*'E Balans VL '!E18/100/3.6*1000000</f>
        <v>0</v>
      </c>
      <c r="K8" s="33"/>
      <c r="L8" s="33"/>
      <c r="M8" s="33"/>
      <c r="N8" s="33">
        <f>C30*'E Balans VL '!Y18/100/3.6*1000000</f>
        <v>1.2136384086533099</v>
      </c>
      <c r="O8" s="33"/>
      <c r="P8" s="33"/>
      <c r="R8" s="32"/>
    </row>
    <row r="9" spans="1:18">
      <c r="A9" s="6" t="s">
        <v>33</v>
      </c>
      <c r="B9" s="37">
        <f t="shared" si="0"/>
        <v>1560.242</v>
      </c>
      <c r="C9" s="33"/>
      <c r="D9" s="37">
        <f>IF( ISERROR(IND_andere_gas_kWh/1000),0,IND_andere_gas_kWh/1000)*0.902</f>
        <v>1379.2284693530503</v>
      </c>
      <c r="E9" s="33">
        <f>C31*'E Balans VL '!I19/100/3.6*1000000</f>
        <v>429.00255658762956</v>
      </c>
      <c r="F9" s="33">
        <f>C31*'E Balans VL '!L19/100/3.6*1000000+C31*'E Balans VL '!N19/100/3.6*1000000</f>
        <v>1229.7421976012608</v>
      </c>
      <c r="G9" s="34"/>
      <c r="H9" s="33"/>
      <c r="I9" s="33"/>
      <c r="J9" s="40">
        <f>C31*'E Balans VL '!D19/100/3.6*1000000+C31*'E Balans VL '!E19/100/3.6*1000000</f>
        <v>0</v>
      </c>
      <c r="K9" s="33"/>
      <c r="L9" s="33"/>
      <c r="M9" s="33"/>
      <c r="N9" s="33">
        <f>C31*'E Balans VL '!Y19/100/3.6*1000000</f>
        <v>505.09151889718862</v>
      </c>
      <c r="O9" s="33"/>
      <c r="P9" s="33"/>
      <c r="R9" s="32"/>
    </row>
    <row r="10" spans="1:18">
      <c r="A10" s="6" t="s">
        <v>41</v>
      </c>
      <c r="B10" s="37">
        <f t="shared" si="0"/>
        <v>29.503049999999998</v>
      </c>
      <c r="C10" s="33"/>
      <c r="D10" s="37">
        <f>IF( ISERROR(IND_voed_gas_kWh/1000),0,IND_voed_gas_kWh/1000)*0.902</f>
        <v>112.56406911078865</v>
      </c>
      <c r="E10" s="33">
        <f>C32*'E Balans VL '!I20/100/3.6*1000000</f>
        <v>0.30076734142701306</v>
      </c>
      <c r="F10" s="33">
        <f>C32*'E Balans VL '!L20/100/3.6*1000000+C32*'E Balans VL '!N20/100/3.6*1000000</f>
        <v>55.731076926234508</v>
      </c>
      <c r="G10" s="34"/>
      <c r="H10" s="33"/>
      <c r="I10" s="33"/>
      <c r="J10" s="40">
        <f>C32*'E Balans VL '!D20/100/3.6*1000000+C32*'E Balans VL '!E20/100/3.6*1000000</f>
        <v>0.70610452091664966</v>
      </c>
      <c r="K10" s="33"/>
      <c r="L10" s="33"/>
      <c r="M10" s="33"/>
      <c r="N10" s="33">
        <f>C32*'E Balans VL '!Y20/100/3.6*1000000</f>
        <v>15.551505684644086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73.689710000000005</v>
      </c>
      <c r="C13" s="33"/>
      <c r="D13" s="37">
        <f>IF( ISERROR(IND_papier_gas_kWh/1000),0,IND_papier_gas_kWh/1000)*0.902</f>
        <v>103.26360031303433</v>
      </c>
      <c r="E13" s="33">
        <f>C35*'E Balans VL '!I23/100/3.6*1000000</f>
        <v>0.15261636334565473</v>
      </c>
      <c r="F13" s="33">
        <f>C35*'E Balans VL '!L23/100/3.6*1000000+C35*'E Balans VL '!N23/100/3.6*1000000</f>
        <v>1.4614249274820108</v>
      </c>
      <c r="G13" s="34"/>
      <c r="H13" s="33"/>
      <c r="I13" s="33"/>
      <c r="J13" s="40">
        <f>C35*'E Balans VL '!D23/100/3.6*1000000+C35*'E Balans VL '!E23/100/3.6*1000000</f>
        <v>0</v>
      </c>
      <c r="K13" s="33"/>
      <c r="L13" s="33"/>
      <c r="M13" s="33"/>
      <c r="N13" s="33">
        <f>C35*'E Balans VL '!Y23/100/3.6*1000000</f>
        <v>31.115322998535007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70.940320000000014</v>
      </c>
      <c r="C15" s="33"/>
      <c r="D15" s="37">
        <f>IF( ISERROR(IND_rest_gas_kWh/1000),0,IND_rest_gas_kWh/1000)*0.902</f>
        <v>383.25323281505655</v>
      </c>
      <c r="E15" s="33">
        <f>C37*'E Balans VL '!I15/100/3.6*1000000</f>
        <v>3.6089547275231881</v>
      </c>
      <c r="F15" s="33">
        <f>C37*'E Balans VL '!L15/100/3.6*1000000+C37*'E Balans VL '!N15/100/3.6*1000000</f>
        <v>16.169968001857775</v>
      </c>
      <c r="G15" s="34"/>
      <c r="H15" s="33"/>
      <c r="I15" s="33"/>
      <c r="J15" s="40">
        <f>C37*'E Balans VL '!D15/100/3.6*1000000+C37*'E Balans VL '!E15/100/3.6*1000000</f>
        <v>0.29761807830508363</v>
      </c>
      <c r="K15" s="33"/>
      <c r="L15" s="33"/>
      <c r="M15" s="33"/>
      <c r="N15" s="33">
        <f>C37*'E Balans VL '!Y15/100/3.6*1000000</f>
        <v>13.32854258669682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1782.68372</v>
      </c>
      <c r="C18" s="21">
        <f>C5+C16</f>
        <v>0</v>
      </c>
      <c r="D18" s="21">
        <f>MAX((D5+D16),0)</f>
        <v>1978.3093715919299</v>
      </c>
      <c r="E18" s="21">
        <f>MAX((E5+E16),0)</f>
        <v>434.27389120250763</v>
      </c>
      <c r="F18" s="21">
        <f>MAX((F5+F16),0)</f>
        <v>1318.2448355323686</v>
      </c>
      <c r="G18" s="21"/>
      <c r="H18" s="21"/>
      <c r="I18" s="21"/>
      <c r="J18" s="21">
        <f>MAX((J5+J16),0)</f>
        <v>1.0037225992217333</v>
      </c>
      <c r="K18" s="21"/>
      <c r="L18" s="21">
        <f>MAX((L5+L16),0)</f>
        <v>0</v>
      </c>
      <c r="M18" s="21"/>
      <c r="N18" s="21">
        <f>MAX((N5+N16),0)</f>
        <v>566.30052857571786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0.21617498225461404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385.37162153658932</v>
      </c>
      <c r="C22" s="23">
        <f ca="1">C18*C20</f>
        <v>0</v>
      </c>
      <c r="D22" s="23">
        <f>D18*D20</f>
        <v>399.61849306156989</v>
      </c>
      <c r="E22" s="23">
        <f>E18*E20</f>
        <v>98.580173302969229</v>
      </c>
      <c r="F22" s="23">
        <f>F18*F20</f>
        <v>351.97137108714242</v>
      </c>
      <c r="G22" s="23"/>
      <c r="H22" s="23"/>
      <c r="I22" s="23"/>
      <c r="J22" s="23">
        <f>J18*J20</f>
        <v>0.3553178001244936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48.308639999999997</v>
      </c>
      <c r="C30" s="39">
        <f>IF(ISERROR(B30*3.6/1000000/'E Balans VL '!Z18*100),0,B30*3.6/1000000/'E Balans VL '!Z18*100)</f>
        <v>6.7615996967869078E-3</v>
      </c>
      <c r="D30" s="237" t="s">
        <v>692</v>
      </c>
    </row>
    <row r="31" spans="1:18">
      <c r="A31" s="6" t="s">
        <v>33</v>
      </c>
      <c r="B31" s="37">
        <f>IF( ISERROR(IND_ander_ele_kWh/1000),0,IND_ander_ele_kWh/1000)</f>
        <v>1560.242</v>
      </c>
      <c r="C31" s="39">
        <f>IF(ISERROR(B31*3.6/1000000/'E Balans VL '!Z19*100),0,B31*3.6/1000000/'E Balans VL '!Z19*100)</f>
        <v>6.8291539232787551E-2</v>
      </c>
      <c r="D31" s="237" t="s">
        <v>692</v>
      </c>
    </row>
    <row r="32" spans="1:18">
      <c r="A32" s="171" t="s">
        <v>41</v>
      </c>
      <c r="B32" s="37">
        <f>IF( ISERROR(IND_voed_ele_kWh/1000),0,IND_voed_ele_kWh/1000)</f>
        <v>29.503049999999998</v>
      </c>
      <c r="C32" s="39">
        <f>IF(ISERROR(B32*3.6/1000000/'E Balans VL '!Z20*100),0,B32*3.6/1000000/'E Balans VL '!Z20*100)</f>
        <v>7.3039754320360379E-3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73.689710000000005</v>
      </c>
      <c r="C35" s="39">
        <f>IF(ISERROR(B35*3.6/1000000/'E Balans VL '!Z22*100),0,B35*3.6/1000000/'E Balans VL '!Z22*100)</f>
        <v>2.0910133319408182E-3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70.940320000000014</v>
      </c>
      <c r="C37" s="39">
        <f>IF(ISERROR(B37*3.6/1000000/'E Balans VL '!Z15*100),0,B37*3.6/1000000/'E Balans VL '!Z15*100)</f>
        <v>5.260103273032619E-4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69.407889999999995</v>
      </c>
      <c r="C5" s="17">
        <f>'Eigen informatie GS &amp; warmtenet'!B60</f>
        <v>0</v>
      </c>
      <c r="D5" s="30">
        <f>IF(ISERROR(SUM(LB_lb_gas_kWh,LB_rest_gas_kWh,onbekend_gas_kWh)/1000),0,SUM(LB_lb_gas_kWh,LB_rest_gas_kWh,onbekend_gas_kWh)/1000)*0.902</f>
        <v>5857.4262043969866</v>
      </c>
      <c r="E5" s="17">
        <f>B17*'E Balans VL '!I25/3.6*1000000/100</f>
        <v>0.64288494787656636</v>
      </c>
      <c r="F5" s="17">
        <f>B17*('E Balans VL '!L25/3.6*1000000+'E Balans VL '!N25/3.6*1000000)/100</f>
        <v>176.10103911947613</v>
      </c>
      <c r="G5" s="18"/>
      <c r="H5" s="17"/>
      <c r="I5" s="17"/>
      <c r="J5" s="17">
        <f>('E Balans VL '!D25+'E Balans VL '!E25)/3.6*1000000*landbouw!B17/100</f>
        <v>10.641004131313128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69.407889999999995</v>
      </c>
      <c r="C8" s="21">
        <f>C5+C6</f>
        <v>0</v>
      </c>
      <c r="D8" s="21">
        <f>MAX((D5+D6),0)</f>
        <v>5857.4262043969866</v>
      </c>
      <c r="E8" s="21">
        <f>MAX((E5+E6),0)</f>
        <v>0.64288494787656636</v>
      </c>
      <c r="F8" s="21">
        <f>MAX((F5+F6),0)</f>
        <v>176.10103911947613</v>
      </c>
      <c r="G8" s="21"/>
      <c r="H8" s="21"/>
      <c r="I8" s="21"/>
      <c r="J8" s="21">
        <f>MAX((J5+J6),0)</f>
        <v>10.641004131313128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0.21617498225461404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15.004249389080202</v>
      </c>
      <c r="C12" s="23">
        <f ca="1">C8*C10</f>
        <v>0</v>
      </c>
      <c r="D12" s="23">
        <f>D8*D10</f>
        <v>1183.2000932881913</v>
      </c>
      <c r="E12" s="23">
        <f>E8*E10</f>
        <v>0.14593488316798056</v>
      </c>
      <c r="F12" s="23">
        <f>F8*F10</f>
        <v>47.018977444900131</v>
      </c>
      <c r="G12" s="23"/>
      <c r="H12" s="23"/>
      <c r="I12" s="23"/>
      <c r="J12" s="23">
        <f>J8*J10</f>
        <v>3.7669154624848473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9.8683302563497381E-3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42.857797692071436</v>
      </c>
      <c r="C26" s="247">
        <f>B26*'GWP N2O_CH4'!B5</f>
        <v>900.01375153350011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5.133275474289241</v>
      </c>
      <c r="C27" s="247">
        <f>B27*'GWP N2O_CH4'!B5</f>
        <v>107.79878496007406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0.60392867803844907</v>
      </c>
      <c r="C28" s="247">
        <f>B28*'GWP N2O_CH4'!B4</f>
        <v>187.21789019191922</v>
      </c>
      <c r="D28" s="50"/>
    </row>
    <row r="29" spans="1:4">
      <c r="A29" s="41" t="s">
        <v>277</v>
      </c>
      <c r="B29" s="247">
        <f>B34*'ha_N2O bodem landbouw'!B4</f>
        <v>2.7604512405447705</v>
      </c>
      <c r="C29" s="247">
        <f>B29*'GWP N2O_CH4'!B4</f>
        <v>855.73988456887889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6.1912058152793618E-4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5.1827997485352282E-5</v>
      </c>
      <c r="C5" s="464" t="s">
        <v>211</v>
      </c>
      <c r="D5" s="449">
        <f>SUM(D6:D11)</f>
        <v>1.7477037947982903E-4</v>
      </c>
      <c r="E5" s="449">
        <f>SUM(E6:E11)</f>
        <v>1.0745958919038401E-3</v>
      </c>
      <c r="F5" s="462" t="s">
        <v>211</v>
      </c>
      <c r="G5" s="449">
        <f>SUM(G6:G11)</f>
        <v>0.22854317528930426</v>
      </c>
      <c r="H5" s="449">
        <f>SUM(H6:H11)</f>
        <v>6.5051995066147089E-2</v>
      </c>
      <c r="I5" s="464" t="s">
        <v>211</v>
      </c>
      <c r="J5" s="464" t="s">
        <v>211</v>
      </c>
      <c r="K5" s="464" t="s">
        <v>211</v>
      </c>
      <c r="L5" s="464" t="s">
        <v>211</v>
      </c>
      <c r="M5" s="449">
        <f>SUM(M6:M11)</f>
        <v>1.5222760017050922E-2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2.0960025932210913E-5</v>
      </c>
      <c r="C6" s="450"/>
      <c r="D6" s="963">
        <f>vkm_2011_GW_PW*SUMIFS(TableVerdeelsleutelVkm[CNG],TableVerdeelsleutelVkm[Voertuigtype],"Lichte voertuigen")*SUMIFS(TableECFTransport[EnergieConsumptieFactor (PJ per km)],TableECFTransport[Index],CONCATENATE($A6,"_CNG_CNG"))</f>
        <v>4.8482847584467233E-5</v>
      </c>
      <c r="E6" s="963">
        <f>vkm_2011_GW_PW*SUMIFS(TableVerdeelsleutelVkm[LPG],TableVerdeelsleutelVkm[Voertuigtype],"Lichte voertuigen")*SUMIFS(TableECFTransport[EnergieConsumptieFactor (PJ per km)],TableECFTransport[Index],CONCATENATE($A6,"_LPG_LPG"))</f>
        <v>3.1569102549849052E-4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6.5582474979896069E-2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1.8486344394494456E-2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4.3627359185044413E-3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2.7611358682252097E-3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9.4425832236980623E-7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1.5974736080518503E-4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3.0867971553141365E-5</v>
      </c>
      <c r="C8" s="450"/>
      <c r="D8" s="452">
        <f>vkm_2011_NGW_PW*SUMIFS(TableVerdeelsleutelVkm[CNG],TableVerdeelsleutelVkm[Voertuigtype],"Lichte voertuigen")*SUMIFS(TableECFTransport[EnergieConsumptieFactor (PJ per km)],TableECFTransport[Index],CONCATENATE($A8,"_CNG_CNG"))</f>
        <v>1.2628753189536179E-4</v>
      </c>
      <c r="E8" s="452">
        <f>vkm_2011_NGW_PW*SUMIFS(TableVerdeelsleutelVkm[LPG],TableVerdeelsleutelVkm[Voertuigtype],"Lichte voertuigen")*SUMIFS(TableECFTransport[EnergieConsumptieFactor (PJ per km)],TableECFTransport[Index],CONCATENATE($A8,"_LPG_LPG"))</f>
        <v>7.5890486640534951E-4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0.14737821017570255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4.656055757244186E-2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9.9584959788389452E-3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1.282135426548044E-2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4.1488408883958906E-6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7.4178075890234943E-4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14.39666596815341</v>
      </c>
      <c r="C14" s="21"/>
      <c r="D14" s="21">
        <f t="shared" ref="D14:M14" si="0">((D5)*10^9/3600)+D12</f>
        <v>48.547327633285839</v>
      </c>
      <c r="E14" s="21">
        <f t="shared" si="0"/>
        <v>298.49885886217777</v>
      </c>
      <c r="F14" s="21"/>
      <c r="G14" s="21">
        <f t="shared" si="0"/>
        <v>63484.215358140071</v>
      </c>
      <c r="H14" s="21">
        <f t="shared" si="0"/>
        <v>18069.998629485304</v>
      </c>
      <c r="I14" s="21"/>
      <c r="J14" s="21"/>
      <c r="K14" s="21"/>
      <c r="L14" s="21"/>
      <c r="M14" s="21">
        <f t="shared" si="0"/>
        <v>4228.5444491808121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0.21617498225461404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3.1121990101911692</v>
      </c>
      <c r="C18" s="23"/>
      <c r="D18" s="23">
        <f t="shared" ref="D18:M18" si="1">D14*D16</f>
        <v>9.8065601819237393</v>
      </c>
      <c r="E18" s="23">
        <f t="shared" si="1"/>
        <v>67.759240961714355</v>
      </c>
      <c r="F18" s="23"/>
      <c r="G18" s="23">
        <f t="shared" si="1"/>
        <v>16950.285500623399</v>
      </c>
      <c r="H18" s="23">
        <f t="shared" si="1"/>
        <v>4499.4296587418412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6.2597422353400352E-3</v>
      </c>
      <c r="H50" s="321">
        <f t="shared" si="2"/>
        <v>0</v>
      </c>
      <c r="I50" s="321">
        <f t="shared" si="2"/>
        <v>0</v>
      </c>
      <c r="J50" s="321">
        <f t="shared" si="2"/>
        <v>0</v>
      </c>
      <c r="K50" s="321">
        <f t="shared" si="2"/>
        <v>0</v>
      </c>
      <c r="L50" s="321">
        <f t="shared" si="2"/>
        <v>0</v>
      </c>
      <c r="M50" s="321">
        <f t="shared" si="2"/>
        <v>3.5697485154706661E-4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6.2597422353400352E-3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3.5697485154706661E-4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1738.8172875944542</v>
      </c>
      <c r="H54" s="21">
        <f t="shared" si="3"/>
        <v>0</v>
      </c>
      <c r="I54" s="21">
        <f t="shared" si="3"/>
        <v>0</v>
      </c>
      <c r="J54" s="21">
        <f t="shared" si="3"/>
        <v>0</v>
      </c>
      <c r="K54" s="21">
        <f t="shared" si="3"/>
        <v>0</v>
      </c>
      <c r="L54" s="21">
        <f t="shared" si="3"/>
        <v>0</v>
      </c>
      <c r="M54" s="21">
        <f t="shared" si="3"/>
        <v>99.159680985296276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0.21617498225461404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464.26421578771931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1192.8170031002121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1192.8170031002121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2018-06-27T09:35:44Z</dcterms:modified>
</cp:coreProperties>
</file>