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I8" i="18"/>
  <c r="J68" i="14" s="1"/>
  <c r="J15" i="16"/>
  <c r="L16"/>
  <c r="L18" s="1"/>
  <c r="L8" i="48" s="1"/>
  <c r="F16" i="16"/>
  <c r="D13" i="15"/>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P15" s="1"/>
  <c r="P23" s="1"/>
  <c r="O8" i="48"/>
  <c r="O25" s="1"/>
  <c r="D8"/>
  <c r="D25" s="1"/>
  <c r="J16" i="15"/>
  <c r="J5" i="48" s="1"/>
  <c r="J22" s="1"/>
  <c r="E16" i="15"/>
  <c r="E20" s="1"/>
  <c r="F36"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B22" i="6"/>
  <c r="C17" i="49" s="1"/>
  <c r="F10" i="14"/>
  <c r="F18" i="16"/>
  <c r="G13" i="14" s="1"/>
  <c r="G15" s="1"/>
  <c r="G23" s="1"/>
  <c r="M16" i="18"/>
  <c r="M19" s="1"/>
  <c r="K10" i="14"/>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7" i="19"/>
  <c r="C19" s="1"/>
  <c r="D35" i="14" s="1"/>
  <c r="C56" i="22"/>
  <c r="C58" s="1"/>
  <c r="D44" i="14" s="1"/>
  <c r="D46" s="1"/>
  <c r="Q5" i="48"/>
  <c r="O13" i="14"/>
  <c r="O15" s="1"/>
  <c r="F22" i="16"/>
  <c r="G39" i="14" s="1"/>
  <c r="G41" s="1"/>
  <c r="N22" i="16"/>
  <c r="O39" i="14" s="1"/>
  <c r="O41" s="1"/>
  <c r="F8" i="48"/>
  <c r="Q4"/>
  <c r="N22"/>
  <c r="N31" s="1"/>
  <c r="N14"/>
  <c r="R11" i="14"/>
  <c r="J21" i="48"/>
  <c r="C18" i="15" l="1"/>
  <c r="C20" s="1"/>
  <c r="D36" i="14" s="1"/>
  <c r="C20" i="16"/>
  <c r="C22" s="1"/>
  <c r="D39" i="14" s="1"/>
  <c r="E14" i="48"/>
  <c r="C29" i="20"/>
  <c r="R10" i="14"/>
  <c r="K41"/>
  <c r="K53" s="1"/>
  <c r="K15"/>
  <c r="K23" s="1"/>
  <c r="H55"/>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K55" i="14"/>
  <c r="R13"/>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<sst xmlns="http://schemas.openxmlformats.org/spreadsheetml/2006/main" count="1968" uniqueCount="844">
  <si>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</si>
  <si>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</si>
  <si>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</si>
  <si>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</si>
  <si>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</si>
  <si>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</si>
  <si>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</si>
  <si>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</si>
  <si>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</si>
  <si>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</si>
  <si>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</si>
  <si>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</si>
  <si>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</si>
  <si>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</si>
  <si>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</si>
  <si>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</si>
  <si>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</si>
  <si>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</si>
  <si>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</si>
  <si>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</si>
  <si>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</si>
  <si>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</si>
  <si>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</si>
  <si>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</si>
  <si>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</si>
  <si>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</si>
  <si>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</si>
  <si>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</si>
  <si>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</si>
  <si>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</si>
  <si>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</si>
  <si>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</si>
  <si>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</si>
  <si>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</si>
  <si>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</si>
  <si>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</si>
  <si>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</si>
  <si>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</si>
  <si>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</si>
  <si>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</si>
  <si>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</si>
  <si>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</si>
  <si>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</si>
  <si>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</si>
  <si>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</si>
  <si>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</si>
  <si>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</si>
  <si>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</si>
  <si>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</si>
  <si>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</si>
  <si>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</si>
  <si>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</si>
  <si>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</si>
  <si>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</si>
  <si>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</si>
  <si>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</si>
  <si>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</si>
  <si>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</si>
  <si>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</si>
  <si>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</si>
  <si>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</si>
  <si>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</si>
  <si>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</si>
  <si>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</si>
  <si>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</si>
  <si>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</si>
  <si>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</si>
  <si>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</si>
  <si>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</si>
  <si>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</si>
  <si>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</si>
  <si>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</si>
  <si>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</si>
  <si>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</si>
  <si>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</si>
  <si>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</si>
  <si>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</si>
  <si>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</si>
  <si>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</si>
  <si>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</si>
  <si>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</si>
  <si>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</si>
  <si>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</si>
  <si>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</si>
  <si>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</si>
  <si>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</si>
  <si>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</si>
  <si>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</si>
  <si>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</si>
  <si>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</si>
  <si>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</si>
  <si>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</si>
  <si>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</si>
  <si>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</si>
  <si>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</si>
  <si>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</si>
  <si>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</si>
  <si>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</si>
  <si>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</si>
  <si>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</si>
  <si>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</si>
  <si>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</si>
  <si>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</si>
  <si>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</si>
  <si>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</si>
  <si>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</si>
  <si>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</si>
  <si>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</si>
  <si>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</si>
  <si>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</si>
  <si>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</si>
  <si>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</si>
  <si>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</si>
  <si>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</si>
  <si>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</si>
  <si>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</si>
  <si>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</si>
  <si>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</si>
  <si>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</si>
  <si>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</si>
  <si>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</si>
  <si>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</si>
  <si>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</si>
  <si>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</si>
  <si>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</si>
  <si>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</si>
  <si>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</si>
  <si>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</si>
  <si>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</si>
  <si>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</si>
  <si>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</si>
  <si>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</si>
  <si>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</si>
  <si>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</si>
  <si>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</si>
  <si>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</si>
  <si>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</si>
  <si>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</si>
  <si>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</si>
  <si>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</si>
  <si>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</si>
  <si>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</si>
  <si>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</si>
  <si>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</si>
  <si>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</si>
  <si>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</si>
  <si>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</si>
  <si>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</si>
  <si>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</si>
  <si>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</si>
  <si>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</si>
  <si>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</si>
  <si>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</si>
  <si>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</si>
  <si>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</si>
  <si>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</si>
  <si>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</si>
  <si>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</si>
  <si>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</si>
  <si>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</si>
  <si>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</si>
  <si>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</si>
  <si>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</si>
  <si>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</si>
  <si>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</si>
  <si>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</si>
  <si>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</si>
  <si>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</si>
  <si>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</si>
  <si>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</si>
  <si>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</si>
  <si>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</si>
  <si>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</si>
  <si>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</si>
  <si>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</si>
  <si>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</si>
  <si>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</si>
  <si>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</si>
  <si>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</si>
  <si>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</si>
  <si>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</si>
  <si>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</si>
  <si>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</si>
  <si>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</si>
  <si>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</si>
  <si>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</si>
  <si>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</si>
  <si>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</si>
  <si>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</si>
  <si>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</si>
  <si>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</si>
  <si>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</si>
  <si>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</si>
  <si>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</si>
  <si>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</si>
  <si>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</si>
  <si>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</si>
  <si>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</si>
  <si>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</si>
  <si>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</si>
  <si>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</si>
  <si>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</si>
  <si>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</si>
  <si>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</si>
  <si>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</si>
  <si>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</si>
  <si>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</si>
  <si>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</si>
  <si>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</si>
  <si>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</si>
  <si>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</si>
  <si>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</si>
  <si>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</si>
  <si>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</si>
  <si>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</si>
  <si>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</si>
  <si>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</si>
  <si>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</si>
  <si>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</si>
  <si>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</si>
  <si>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</si>
  <si>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</si>
  <si>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</si>
  <si>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</si>
  <si>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</si>
  <si>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</si>
  <si>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</si>
  <si>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</si>
  <si>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</si>
  <si>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</si>
  <si>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</si>
  <si>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</si>
  <si>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</si>
  <si>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</si>
  <si>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</si>
  <si>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</si>
  <si>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</si>
  <si>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</si>
  <si>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</si>
  <si>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</si>
  <si>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</si>
  <si>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</si>
  <si>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</si>
  <si>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</si>
  <si>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</si>
  <si>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</si>
  <si>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</si>
  <si>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</si>
  <si>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</si>
  <si>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</si>
  <si>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</si>
  <si>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</si>
  <si>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</si>
  <si>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</si>
  <si>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</si>
  <si>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</si>
  <si>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</si>
  <si>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</si>
  <si>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</si>
  <si>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</si>
  <si>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</si>
  <si>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</si>
  <si>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</si>
  <si>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</si>
  <si>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</si>
  <si>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</si>
  <si>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</si>
  <si>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</si>
  <si>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</si>
  <si>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</si>
  <si>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</si>
  <si>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</si>
  <si>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</si>
  <si>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</si>
  <si>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</si>
  <si>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</si>
  <si>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</si>
  <si>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</si>
  <si>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</si>
  <si>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</si>
  <si>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</si>
  <si>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</si>
  <si>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</si>
  <si>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</si>
  <si>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</si>
  <si>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</si>
  <si>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</si>
  <si>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</si>
  <si>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</si>
  <si>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</si>
  <si>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</si>
  <si>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</si>
  <si>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</si>
  <si>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</si>
  <si>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</si>
  <si>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</si>
  <si>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</si>
  <si>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</si>
  <si>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</si>
  <si>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</si>
  <si>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</si>
  <si>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</si>
  <si>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</si>
  <si>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</si>
  <si>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</si>
  <si>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</si>
  <si>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</si>
  <si>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</si>
  <si>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</si>
  <si>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</si>
  <si>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</si>
  <si>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</si>
  <si>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</si>
  <si>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</si>
  <si>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</si>
  <si>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</si>
  <si>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</si>
  <si>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</si>
  <si>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</si>
  <si>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</si>
  <si>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</si>
  <si>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</si>
  <si>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</si>
  <si>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</si>
  <si>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</si>
  <si>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</si>
  <si>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</si>
  <si>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</si>
  <si>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</si>
  <si>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</si>
  <si>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</si>
  <si>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</si>
  <si>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</si>
  <si>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</si>
  <si>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</si>
  <si>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</si>
  <si>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</si>
  <si>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</si>
  <si>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</si>
  <si>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</si>
  <si>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</si>
  <si>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</si>
  <si>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</si>
  <si>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</si>
  <si>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</si>
  <si>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</si>
  <si>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</si>
  <si>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</si>
  <si>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</si>
  <si>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</si>
  <si>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</si>
  <si>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</si>
  <si>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</si>
  <si>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</si>
  <si>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</si>
  <si>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</si>
  <si>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</si>
  <si>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</si>
  <si>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</si>
  <si>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</si>
  <si>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</si>
  <si>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</si>
  <si>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</si>
  <si>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</si>
  <si>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</si>
  <si>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</si>
  <si>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</si>
  <si>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</si>
  <si>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</si>
  <si>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</si>
  <si>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</si>
  <si>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</si>
  <si>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</si>
  <si>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</si>
  <si>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</si>
  <si>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</si>
  <si>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</si>
  <si>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</si>
  <si>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</si>
  <si>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</si>
  <si>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</si>
  <si>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</si>
  <si>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</si>
  <si>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</si>
  <si>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</si>
  <si>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</si>
  <si>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</si>
  <si>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</si>
  <si>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</si>
  <si>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</si>
  <si>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</si>
  <si>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</si>
  <si>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</si>
  <si>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</si>
  <si>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</si>
  <si>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</si>
  <si>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</si>
  <si>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</si>
  <si>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</si>
  <si>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</si>
  <si>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</si>
  <si>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</si>
  <si>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</si>
  <si>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</si>
  <si>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</si>
  <si>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</si>
  <si>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</si>
  <si>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</si>
  <si>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</si>
  <si>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</si>
  <si>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</si>
  <si>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</si>
  <si>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</si>
  <si>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</si>
  <si>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</si>
  <si>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</si>
  <si>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</si>
  <si>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</si>
  <si>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</si>
  <si>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</si>
  <si>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</si>
  <si>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</si>
  <si>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</si>
  <si>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</si>
  <si>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</si>
  <si>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</si>
  <si>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</si>
  <si>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</si>
  <si>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</si>
  <si>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</si>
  <si>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</si>
  <si>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</si>
  <si>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</si>
  <si>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</si>
  <si>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</si>
  <si>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</si>
  <si>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</si>
  <si>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</si>
  <si>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</si>
  <si>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</si>
  <si>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</si>
  <si>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</si>
  <si>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</si>
  <si>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</si>
  <si>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</si>
  <si>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</si>
  <si>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</si>
  <si>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</si>
  <si>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</si>
  <si>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</si>
  <si>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</si>
  <si>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</si>
  <si>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</si>
  <si>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</si>
  <si>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</si>
  <si>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</si>
  <si>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</si>
  <si>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</si>
  <si>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</si>
  <si>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</si>
  <si>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</si>
  <si>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</si>
  <si>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</si>
  <si>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</si>
  <si>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</si>
  <si>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</si>
  <si>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</si>
  <si>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</si>
  <si>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</si>
  <si>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</si>
  <si>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</si>
  <si>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</si>
  <si>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</si>
  <si>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</si>
  <si>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</si>
  <si>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</si>
  <si>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</si>
  <si>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</si>
  <si>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</si>
  <si>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</si>
  <si>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</si>
  <si>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</si>
  <si>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</si>
  <si>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</si>
  <si>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</si>
  <si>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</si>
  <si>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</si>
  <si>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</si>
  <si>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</si>
  <si>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</si>
  <si>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</si>
  <si>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</si>
  <si>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</si>
  <si>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</si>
  <si>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</si>
  <si>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</si>
  <si>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</si>
  <si>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</si>
  <si>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</si>
  <si>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</si>
  <si>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</si>
  <si>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</si>
  <si>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</si>
  <si>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</si>
  <si>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</si>
  <si>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</si>
  <si>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</si>
  <si>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</si>
  <si>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</si>
  <si>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</si>
  <si>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</si>
  <si>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</si>
  <si>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</si>
  <si>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</si>
  <si>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</si>
  <si>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</si>
  <si>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</si>
  <si>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</si>
  <si>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</si>
  <si>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</si>
  <si>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</si>
  <si>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</si>
  <si>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</si>
  <si>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</si>
  <si>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</si>
  <si>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</si>
  <si>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</si>
  <si>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</si>
  <si>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</si>
  <si>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</si>
  <si>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</si>
  <si>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</si>
  <si>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</si>
  <si>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</si>
  <si>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</si>
  <si>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</si>
  <si>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</si>
  <si>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</si>
  <si>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</si>
  <si>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</si>
  <si>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</si>
  <si>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</si>
  <si>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</si>
  <si>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</si>
  <si>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</si>
  <si>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</si>
  <si>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</si>
  <si>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</si>
  <si>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</si>
  <si>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</si>
  <si>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</si>
  <si>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</si>
  <si>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</si>
  <si>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</si>
  <si>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</si>
  <si>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</si>
  <si>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</si>
  <si>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</si>
  <si>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</si>
  <si>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</si>
  <si>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</si>
  <si>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</si>
  <si>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</si>
  <si>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</si>
  <si>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</si>
  <si>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</si>
  <si>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</si>
  <si>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</si>
  <si>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</si>
  <si>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</si>
  <si>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</si>
  <si>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</si>
  <si>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</si>
  <si>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</si>
  <si>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</si>
  <si>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</si>
  <si>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</si>
  <si>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</si>
  <si>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</si>
  <si>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</si>
  <si>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</si>
  <si>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</si>
  <si>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</si>
  <si>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</si>
  <si>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</si>
  <si>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</si>
  <si>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</si>
  <si>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</si>
  <si>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</si>
  <si>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</si>
  <si>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</si>
  <si>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</si>
  <si>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</si>
  <si>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</si>
  <si>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</si>
  <si>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</si>
  <si>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</si>
  <si>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</si>
  <si>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</si>
  <si>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</si>
  <si>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</si>
  <si>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</si>
  <si>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</si>
  <si>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</si>
  <si>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</si>
  <si>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</si>
  <si>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</si>
  <si>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</si>
  <si>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</si>
  <si>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</si>
  <si>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</si>
  <si>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</si>
  <si>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</si>
  <si>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</si>
  <si>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</si>
  <si>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</si>
  <si>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</si>
  <si>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</si>
  <si>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</si>
  <si>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</si>
  <si>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</si>
  <si>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</si>
  <si>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</si>
  <si>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</si>
  <si>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</si>
  <si>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</si>
  <si>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</si>
  <si>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</si>
  <si>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</si>
  <si>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</si>
  <si>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</si>
  <si>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</si>
  <si>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</si>
  <si>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</si>
  <si>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</si>
  <si>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</si>
  <si>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</si>
  <si>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</si>
  <si>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</si>
  <si>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</si>
  <si>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</si>
  <si>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</si>
  <si>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</si>
  <si>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</si>
  <si>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</si>
  <si>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</si>
  <si>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</si>
  <si>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</si>
  <si>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</si>
  <si>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</si>
  <si>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</si>
  <si>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</si>
  <si>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</si>
  <si>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</si>
  <si>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</si>
  <si>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</si>
  <si>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</si>
  <si>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</si>
  <si>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</si>
  <si>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</si>
  <si>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</si>
  <si>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</si>
  <si>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</si>
  <si>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</si>
  <si>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</si>
  <si>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</si>
  <si>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</si>
  <si>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</si>
  <si>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</si>
  <si>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</si>
  <si>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</si>
  <si>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</si>
  <si>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</si>
  <si>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</si>
  <si>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</si>
  <si>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</si>
  <si>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</si>
  <si>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</si>
  <si>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</si>
  <si>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</si>
  <si>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</si>
  <si>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</si>
  <si>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</si>
  <si>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</si>
  <si>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</si>
  <si>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</si>
  <si>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</si>
  <si>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</si>
  <si>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</si>
  <si>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</si>
  <si>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</si>
  <si>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</si>
  <si>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</si>
  <si>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</si>
  <si>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</si>
  <si>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</si>
  <si>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</si>
  <si>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</si>
  <si>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</si>
  <si>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</si>
  <si>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</si>
  <si>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</si>
  <si>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</si>
  <si>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</si>
  <si>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</si>
  <si>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</si>
  <si>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</si>
  <si>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</si>
  <si>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</si>
  <si>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</si>
  <si>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</si>
  <si>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</si>
  <si>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</si>
  <si>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</si>
  <si>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</si>
  <si>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</si>
  <si>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</si>
  <si>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</si>
  <si>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</si>
  <si>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</si>
  <si>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</si>
  <si>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</si>
  <si>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</si>
  <si>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</si>
  <si>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</si>
  <si>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</si>
  <si>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</si>
  <si>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</si>
  <si>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</si>
  <si>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</si>
  <si>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</si>
  <si>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</si>
  <si>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</si>
  <si>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</si>
  <si>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</si>
  <si>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</si>
  <si>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</si>
  <si>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</si>
  <si>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</si>
  <si>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</si>
  <si>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</si>
  <si>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</si>
  <si>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</si>
  <si>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</si>
  <si>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</si>
  <si>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</si>
  <si>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</si>
  <si>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</si>
  <si>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</si>
  <si>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</si>
  <si>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</si>
  <si>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</si>
  <si>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</si>
  <si>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</si>
  <si>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</si>
  <si>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</si>
  <si>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</si>
  <si>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</si>
  <si>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</si>
  <si>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</si>
  <si>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</si>
  <si>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</si>
  <si>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</si>
  <si>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</si>
  <si>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</si>
  <si>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</si>
  <si>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</si>
  <si>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</si>
  <si>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</si>
  <si>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</si>
  <si>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</si>
  <si>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</si>
  <si>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</si>
  <si>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</si>
  <si>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</si>
  <si>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</si>
  <si>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</si>
  <si>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</si>
  <si>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</si>
  <si>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</si>
  <si>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</si>
  <si>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</si>
  <si>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</si>
  <si>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</si>
  <si>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</si>
  <si>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</si>
  <si>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</si>
  <si>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</si>
  <si>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</si>
  <si>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</si>
  <si>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</si>
  <si>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</si>
  <si>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</si>
  <si>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</si>
  <si>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</si>
  <si>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</si>
  <si>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</si>
  <si>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</si>
  <si>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</si>
  <si>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</si>
  <si>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</si>
  <si>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</si>
  <si>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</si>
  <si>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</si>
  <si>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</si>
  <si>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</si>
  <si>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</si>
  <si>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</si>
  <si>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</si>
  <si>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</si>
  <si>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</si>
  <si>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</si>
  <si>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</si>
  <si>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</si>
  <si>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</si>
  <si>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</si>
  <si>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</si>
  <si>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</si>
  <si>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</si>
  <si>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</si>
  <si>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</si>
  <si>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</si>
  <si>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</si>
  <si>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</si>
  <si>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</si>
  <si>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</si>
  <si>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23088</t>
  </si>
  <si>
    <t>VILVOORDE</t>
  </si>
  <si>
    <t>Paarden&amp;pony's 200 - 600 kg</t>
  </si>
  <si>
    <t>Paarden&amp;pony's &lt; 200 kg</t>
  </si>
  <si>
    <t>referentietaak LNE (2017); Jaarverslag De Lijn (2014)</t>
  </si>
  <si>
    <t>op basis van VEA (maart 2018) en Inventaris Hernieuwbare Energiebronnen (juni 2018)</t>
  </si>
  <si>
    <t>VEA (maart 2016)</t>
  </si>
  <si>
    <t>VEA (juni 2018)</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</si>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</sst>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230678.95367914159</c:v>
                </c:pt>
                <c:pt idx="1">
                  <c:v>202940.76267470309</c:v>
                </c:pt>
                <c:pt idx="2">
                  <c:v>2613.8270000000002</c:v>
                </c:pt>
                <c:pt idx="3">
                  <c:v>10771.432615304326</c:v>
                </c:pt>
                <c:pt idx="4">
                  <c:v>75815.557534999301</c:v>
                </c:pt>
                <c:pt idx="5">
                  <c:v>376834.37062707776</c:v>
                </c:pt>
                <c:pt idx="6">
                  <c:v>4789.7308682196954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69376"/>
        <c:axId val="176870912"/>
      </c:barChart>
      <c:catAx>
        <c:axId val="176869376"/>
        <c:scaling>
          <c:orientation val="minMax"/>
        </c:scaling>
        <c:axPos val="b"/>
        <c:numFmt formatCode="General" sourceLinked="0"/>
        <c:tickLblPos val="nextTo"/>
        <c:crossAx val="176870912"/>
        <c:crosses val="autoZero"/>
        <c:auto val="1"/>
        <c:lblAlgn val="ctr"/>
        <c:lblOffset val="100"/>
      </c:catAx>
      <c:valAx>
        <c:axId val="176870912"/>
        <c:scaling>
          <c:orientation val="minMax"/>
        </c:scaling>
        <c:axPos val="l"/>
        <c:majorGridlines/>
        <c:numFmt formatCode="#,##0" sourceLinked="1"/>
        <c:tickLblPos val="nextTo"/>
        <c:crossAx val="1768693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230678.95367914159</c:v>
                </c:pt>
                <c:pt idx="1">
                  <c:v>202940.76267470309</c:v>
                </c:pt>
                <c:pt idx="2">
                  <c:v>2613.8270000000002</c:v>
                </c:pt>
                <c:pt idx="3">
                  <c:v>10771.432615304326</c:v>
                </c:pt>
                <c:pt idx="4">
                  <c:v>75815.557534999301</c:v>
                </c:pt>
                <c:pt idx="5">
                  <c:v>376834.37062707776</c:v>
                </c:pt>
                <c:pt idx="6">
                  <c:v>4789.7308682196954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45787.970160092191</c:v>
                </c:pt>
                <c:pt idx="1">
                  <c:v>42127.899177948806</c:v>
                </c:pt>
                <c:pt idx="2">
                  <c:v>561.30085891914302</c:v>
                </c:pt>
                <c:pt idx="3">
                  <c:v>2185.277705933117</c:v>
                </c:pt>
                <c:pt idx="4">
                  <c:v>15220.304068030724</c:v>
                </c:pt>
                <c:pt idx="5">
                  <c:v>94466.970860049303</c:v>
                </c:pt>
                <c:pt idx="6">
                  <c:v>1209.8631720540852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569024"/>
        <c:axId val="183615872"/>
      </c:barChart>
      <c:catAx>
        <c:axId val="183569024"/>
        <c:scaling>
          <c:orientation val="minMax"/>
        </c:scaling>
        <c:axPos val="b"/>
        <c:numFmt formatCode="General" sourceLinked="0"/>
        <c:tickLblPos val="nextTo"/>
        <c:crossAx val="183615872"/>
        <c:crosses val="autoZero"/>
        <c:auto val="1"/>
        <c:lblAlgn val="ctr"/>
        <c:lblOffset val="100"/>
      </c:catAx>
      <c:valAx>
        <c:axId val="183615872"/>
        <c:scaling>
          <c:orientation val="minMax"/>
        </c:scaling>
        <c:axPos val="l"/>
        <c:majorGridlines/>
        <c:numFmt formatCode="#,##0" sourceLinked="1"/>
        <c:tickLblPos val="nextTo"/>
        <c:crossAx val="183569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45787.970160092191</c:v>
                </c:pt>
                <c:pt idx="1">
                  <c:v>42127.899177948806</c:v>
                </c:pt>
                <c:pt idx="2">
                  <c:v>561.30085891914302</c:v>
                </c:pt>
                <c:pt idx="3">
                  <c:v>2185.277705933117</c:v>
                </c:pt>
                <c:pt idx="4">
                  <c:v>15220.304068030724</c:v>
                </c:pt>
                <c:pt idx="5">
                  <c:v>94466.970860049303</c:v>
                </c:pt>
                <c:pt idx="6">
                  <c:v>1209.8631720540852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23088</v>
      </c>
      <c r="B6" s="416"/>
      <c r="C6" s="417"/>
    </row>
    <row r="7" spans="1:7" s="414" customFormat="1" ht="15.75" customHeight="1">
      <c r="A7" s="418" t="str">
        <f>txtMunicipality</f>
        <v>VILVOORDE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16280</v>
      </c>
      <c r="C9" s="342">
        <v>17319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411</v>
      </c>
    </row>
    <row r="15" spans="1:6">
      <c r="A15" s="348" t="s">
        <v>184</v>
      </c>
      <c r="B15" s="334">
        <v>0</v>
      </c>
    </row>
    <row r="16" spans="1:6">
      <c r="A16" s="348" t="s">
        <v>6</v>
      </c>
      <c r="B16" s="334">
        <v>0</v>
      </c>
    </row>
    <row r="17" spans="1:6">
      <c r="A17" s="348" t="s">
        <v>7</v>
      </c>
      <c r="B17" s="334">
        <v>16</v>
      </c>
    </row>
    <row r="18" spans="1:6">
      <c r="A18" s="348" t="s">
        <v>8</v>
      </c>
      <c r="B18" s="334">
        <v>9</v>
      </c>
    </row>
    <row r="19" spans="1:6">
      <c r="A19" s="348" t="s">
        <v>9</v>
      </c>
      <c r="B19" s="334">
        <v>9</v>
      </c>
    </row>
    <row r="20" spans="1:6">
      <c r="A20" s="348" t="s">
        <v>10</v>
      </c>
      <c r="B20" s="334">
        <v>12</v>
      </c>
    </row>
    <row r="21" spans="1:6">
      <c r="A21" s="348" t="s">
        <v>11</v>
      </c>
      <c r="B21" s="334">
        <v>0</v>
      </c>
    </row>
    <row r="22" spans="1:6">
      <c r="A22" s="348" t="s">
        <v>12</v>
      </c>
      <c r="B22" s="334">
        <v>4</v>
      </c>
    </row>
    <row r="23" spans="1:6">
      <c r="A23" s="348" t="s">
        <v>13</v>
      </c>
      <c r="B23" s="334">
        <v>0</v>
      </c>
    </row>
    <row r="24" spans="1:6">
      <c r="A24" s="348" t="s">
        <v>14</v>
      </c>
      <c r="B24" s="334">
        <v>0</v>
      </c>
    </row>
    <row r="25" spans="1:6">
      <c r="A25" s="348" t="s">
        <v>15</v>
      </c>
      <c r="B25" s="334">
        <v>1</v>
      </c>
    </row>
    <row r="26" spans="1:6">
      <c r="A26" s="348" t="s">
        <v>16</v>
      </c>
      <c r="B26" s="334">
        <v>93</v>
      </c>
    </row>
    <row r="27" spans="1:6">
      <c r="A27" s="348" t="s">
        <v>17</v>
      </c>
      <c r="B27" s="334">
        <v>8</v>
      </c>
    </row>
    <row r="28" spans="1:6" s="356" customFormat="1">
      <c r="A28" s="355" t="s">
        <v>18</v>
      </c>
      <c r="B28" s="355">
        <v>45</v>
      </c>
    </row>
    <row r="29" spans="1:6">
      <c r="A29" s="355" t="s">
        <v>828</v>
      </c>
      <c r="B29" s="355">
        <v>23</v>
      </c>
      <c r="C29" s="356"/>
      <c r="D29" s="356"/>
      <c r="E29" s="356"/>
      <c r="F29" s="356"/>
    </row>
    <row r="30" spans="1:6">
      <c r="A30" s="341" t="s">
        <v>829</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12775</v>
      </c>
    </row>
    <row r="37" spans="1:6">
      <c r="A37" s="348" t="s">
        <v>25</v>
      </c>
      <c r="B37" s="348" t="s">
        <v>28</v>
      </c>
      <c r="C37" s="334">
        <v>0</v>
      </c>
      <c r="D37" s="334">
        <v>0</v>
      </c>
      <c r="E37" s="334">
        <v>0</v>
      </c>
      <c r="F37" s="334">
        <v>0</v>
      </c>
    </row>
    <row r="38" spans="1:6">
      <c r="A38" s="348" t="s">
        <v>25</v>
      </c>
      <c r="B38" s="348" t="s">
        <v>29</v>
      </c>
      <c r="C38" s="334">
        <v>4</v>
      </c>
      <c r="D38" s="334">
        <v>281959.54691333399</v>
      </c>
      <c r="E38" s="334">
        <v>6</v>
      </c>
      <c r="F38" s="334">
        <v>39102.300000000003</v>
      </c>
    </row>
    <row r="39" spans="1:6">
      <c r="A39" s="348" t="s">
        <v>30</v>
      </c>
      <c r="B39" s="348" t="s">
        <v>31</v>
      </c>
      <c r="C39" s="334">
        <v>14124</v>
      </c>
      <c r="D39" s="334">
        <v>183447896.87602201</v>
      </c>
      <c r="E39" s="334">
        <v>16682</v>
      </c>
      <c r="F39" s="334">
        <v>54108628</v>
      </c>
    </row>
    <row r="40" spans="1:6">
      <c r="A40" s="348" t="s">
        <v>30</v>
      </c>
      <c r="B40" s="348" t="s">
        <v>29</v>
      </c>
      <c r="C40" s="334">
        <v>2</v>
      </c>
      <c r="D40" s="334">
        <v>26594.523539974402</v>
      </c>
      <c r="E40" s="334">
        <v>2</v>
      </c>
      <c r="F40" s="334">
        <v>18539.21</v>
      </c>
    </row>
    <row r="41" spans="1:6">
      <c r="A41" s="348" t="s">
        <v>32</v>
      </c>
      <c r="B41" s="348" t="s">
        <v>33</v>
      </c>
      <c r="C41" s="334">
        <v>85</v>
      </c>
      <c r="D41" s="334">
        <v>3527293.4565074602</v>
      </c>
      <c r="E41" s="334">
        <v>162</v>
      </c>
      <c r="F41" s="334">
        <v>1464637</v>
      </c>
    </row>
    <row r="42" spans="1:6">
      <c r="A42" s="348" t="s">
        <v>32</v>
      </c>
      <c r="B42" s="348" t="s">
        <v>34</v>
      </c>
      <c r="C42" s="334">
        <v>5</v>
      </c>
      <c r="D42" s="334">
        <v>4734964.9605858801</v>
      </c>
      <c r="E42" s="334">
        <v>4</v>
      </c>
      <c r="F42" s="334">
        <v>4220188</v>
      </c>
    </row>
    <row r="43" spans="1:6">
      <c r="A43" s="348" t="s">
        <v>32</v>
      </c>
      <c r="B43" s="348" t="s">
        <v>35</v>
      </c>
      <c r="C43" s="334">
        <v>0</v>
      </c>
      <c r="D43" s="334">
        <v>0</v>
      </c>
      <c r="E43" s="334">
        <v>0</v>
      </c>
      <c r="F43" s="334">
        <v>0</v>
      </c>
    </row>
    <row r="44" spans="1:6">
      <c r="A44" s="348" t="s">
        <v>32</v>
      </c>
      <c r="B44" s="348" t="s">
        <v>36</v>
      </c>
      <c r="C44" s="334">
        <v>5</v>
      </c>
      <c r="D44" s="334">
        <v>406106.07481098699</v>
      </c>
      <c r="E44" s="334">
        <v>24</v>
      </c>
      <c r="F44" s="334">
        <v>698146.7</v>
      </c>
    </row>
    <row r="45" spans="1:6">
      <c r="A45" s="348" t="s">
        <v>32</v>
      </c>
      <c r="B45" s="348" t="s">
        <v>37</v>
      </c>
      <c r="C45" s="334">
        <v>3</v>
      </c>
      <c r="D45" s="334">
        <v>5105.4633245609002</v>
      </c>
      <c r="E45" s="334">
        <v>3</v>
      </c>
      <c r="F45" s="334">
        <v>11462.08</v>
      </c>
    </row>
    <row r="46" spans="1:6">
      <c r="A46" s="348" t="s">
        <v>32</v>
      </c>
      <c r="B46" s="348" t="s">
        <v>38</v>
      </c>
      <c r="C46" s="334">
        <v>0</v>
      </c>
      <c r="D46" s="334">
        <v>0</v>
      </c>
      <c r="E46" s="334">
        <v>0</v>
      </c>
      <c r="F46" s="334">
        <v>0</v>
      </c>
    </row>
    <row r="47" spans="1:6">
      <c r="A47" s="348" t="s">
        <v>32</v>
      </c>
      <c r="B47" s="348" t="s">
        <v>39</v>
      </c>
      <c r="C47" s="334">
        <v>5</v>
      </c>
      <c r="D47" s="334">
        <v>86810.092725535695</v>
      </c>
      <c r="E47" s="334">
        <v>4</v>
      </c>
      <c r="F47" s="334">
        <v>27214.51</v>
      </c>
    </row>
    <row r="48" spans="1:6">
      <c r="A48" s="348" t="s">
        <v>32</v>
      </c>
      <c r="B48" s="348" t="s">
        <v>29</v>
      </c>
      <c r="C48" s="334">
        <v>33</v>
      </c>
      <c r="D48" s="334">
        <v>4822174.8207808901</v>
      </c>
      <c r="E48" s="334">
        <v>41</v>
      </c>
      <c r="F48" s="334">
        <v>30250349</v>
      </c>
    </row>
    <row r="49" spans="1:6">
      <c r="A49" s="348" t="s">
        <v>32</v>
      </c>
      <c r="B49" s="348" t="s">
        <v>40</v>
      </c>
      <c r="C49" s="334">
        <v>3</v>
      </c>
      <c r="D49" s="334">
        <v>106591.152123562</v>
      </c>
      <c r="E49" s="334">
        <v>3</v>
      </c>
      <c r="F49" s="334">
        <v>37482.74</v>
      </c>
    </row>
    <row r="50" spans="1:6">
      <c r="A50" s="348" t="s">
        <v>32</v>
      </c>
      <c r="B50" s="348" t="s">
        <v>41</v>
      </c>
      <c r="C50" s="334">
        <v>7</v>
      </c>
      <c r="D50" s="334">
        <v>413766.01559224998</v>
      </c>
      <c r="E50" s="334">
        <v>16</v>
      </c>
      <c r="F50" s="334">
        <v>2812576</v>
      </c>
    </row>
    <row r="51" spans="1:6">
      <c r="A51" s="348" t="s">
        <v>42</v>
      </c>
      <c r="B51" s="348" t="s">
        <v>43</v>
      </c>
      <c r="C51" s="334">
        <v>0</v>
      </c>
      <c r="D51" s="334">
        <v>0</v>
      </c>
      <c r="E51" s="334">
        <v>0</v>
      </c>
      <c r="F51" s="334">
        <v>0</v>
      </c>
    </row>
    <row r="52" spans="1:6">
      <c r="A52" s="348" t="s">
        <v>42</v>
      </c>
      <c r="B52" s="348" t="s">
        <v>29</v>
      </c>
      <c r="C52" s="334">
        <v>4</v>
      </c>
      <c r="D52" s="334">
        <v>324435.68111846503</v>
      </c>
      <c r="E52" s="334">
        <v>8</v>
      </c>
      <c r="F52" s="334">
        <v>42404.99</v>
      </c>
    </row>
    <row r="53" spans="1:6">
      <c r="A53" s="348" t="s">
        <v>44</v>
      </c>
      <c r="B53" s="348" t="s">
        <v>45</v>
      </c>
      <c r="C53" s="334">
        <v>406</v>
      </c>
      <c r="D53" s="334">
        <v>11471859.7094137</v>
      </c>
      <c r="E53" s="334">
        <v>663</v>
      </c>
      <c r="F53" s="334">
        <v>8273453</v>
      </c>
    </row>
    <row r="54" spans="1:6">
      <c r="A54" s="348" t="s">
        <v>46</v>
      </c>
      <c r="B54" s="348" t="s">
        <v>47</v>
      </c>
      <c r="C54" s="334">
        <v>0</v>
      </c>
      <c r="D54" s="334">
        <v>0</v>
      </c>
      <c r="E54" s="334">
        <v>2</v>
      </c>
      <c r="F54" s="334">
        <v>2613827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80</v>
      </c>
      <c r="D57" s="334">
        <v>3132312.1054519499</v>
      </c>
      <c r="E57" s="334">
        <v>140</v>
      </c>
      <c r="F57" s="334">
        <v>2826298</v>
      </c>
    </row>
    <row r="58" spans="1:6">
      <c r="A58" s="348" t="s">
        <v>49</v>
      </c>
      <c r="B58" s="348" t="s">
        <v>51</v>
      </c>
      <c r="C58" s="334">
        <v>67</v>
      </c>
      <c r="D58" s="334">
        <v>3203118.3807352502</v>
      </c>
      <c r="E58" s="334">
        <v>84</v>
      </c>
      <c r="F58" s="334">
        <v>1149590</v>
      </c>
    </row>
    <row r="59" spans="1:6">
      <c r="A59" s="348" t="s">
        <v>49</v>
      </c>
      <c r="B59" s="348" t="s">
        <v>52</v>
      </c>
      <c r="C59" s="334">
        <v>250</v>
      </c>
      <c r="D59" s="334">
        <v>18193365.298542898</v>
      </c>
      <c r="E59" s="334">
        <v>389</v>
      </c>
      <c r="F59" s="334">
        <v>19190268</v>
      </c>
    </row>
    <row r="60" spans="1:6">
      <c r="A60" s="348" t="s">
        <v>49</v>
      </c>
      <c r="B60" s="348" t="s">
        <v>53</v>
      </c>
      <c r="C60" s="334">
        <v>217</v>
      </c>
      <c r="D60" s="334">
        <v>22590877.444915399</v>
      </c>
      <c r="E60" s="334">
        <v>287</v>
      </c>
      <c r="F60" s="334">
        <v>12544061</v>
      </c>
    </row>
    <row r="61" spans="1:6">
      <c r="A61" s="348" t="s">
        <v>49</v>
      </c>
      <c r="B61" s="348" t="s">
        <v>54</v>
      </c>
      <c r="C61" s="334">
        <v>429</v>
      </c>
      <c r="D61" s="334">
        <v>41604449.776834898</v>
      </c>
      <c r="E61" s="334">
        <v>989</v>
      </c>
      <c r="F61" s="334">
        <v>26615276</v>
      </c>
    </row>
    <row r="62" spans="1:6">
      <c r="A62" s="348" t="s">
        <v>49</v>
      </c>
      <c r="B62" s="348" t="s">
        <v>55</v>
      </c>
      <c r="C62" s="334">
        <v>3</v>
      </c>
      <c r="D62" s="334">
        <v>84074.348638435898</v>
      </c>
      <c r="E62" s="334">
        <v>14</v>
      </c>
      <c r="F62" s="334">
        <v>1335455</v>
      </c>
    </row>
    <row r="63" spans="1:6">
      <c r="A63" s="348" t="s">
        <v>49</v>
      </c>
      <c r="B63" s="348" t="s">
        <v>29</v>
      </c>
      <c r="C63" s="334">
        <v>128</v>
      </c>
      <c r="D63" s="334">
        <v>22115737.701505799</v>
      </c>
      <c r="E63" s="334">
        <v>121</v>
      </c>
      <c r="F63" s="334">
        <v>21879107</v>
      </c>
    </row>
    <row r="64" spans="1:6">
      <c r="A64" s="348" t="s">
        <v>56</v>
      </c>
      <c r="B64" s="348" t="s">
        <v>57</v>
      </c>
      <c r="C64" s="334">
        <v>0</v>
      </c>
      <c r="D64" s="334">
        <v>0</v>
      </c>
      <c r="E64" s="334">
        <v>0</v>
      </c>
      <c r="F64" s="334">
        <v>0</v>
      </c>
    </row>
    <row r="65" spans="1:6">
      <c r="A65" s="348" t="s">
        <v>56</v>
      </c>
      <c r="B65" s="348" t="s">
        <v>29</v>
      </c>
      <c r="C65" s="334">
        <v>9</v>
      </c>
      <c r="D65" s="334">
        <v>1511630.7947601201</v>
      </c>
      <c r="E65" s="334">
        <v>3</v>
      </c>
      <c r="F65" s="334">
        <v>404833.5</v>
      </c>
    </row>
    <row r="66" spans="1:6">
      <c r="A66" s="348" t="s">
        <v>56</v>
      </c>
      <c r="B66" s="348" t="s">
        <v>58</v>
      </c>
      <c r="C66" s="334">
        <v>0</v>
      </c>
      <c r="D66" s="334">
        <v>0</v>
      </c>
      <c r="E66" s="334">
        <v>28</v>
      </c>
      <c r="F66" s="334">
        <v>1266728</v>
      </c>
    </row>
    <row r="67" spans="1:6">
      <c r="A67" s="355" t="s">
        <v>56</v>
      </c>
      <c r="B67" s="355" t="s">
        <v>59</v>
      </c>
      <c r="C67" s="334">
        <v>0</v>
      </c>
      <c r="D67" s="334">
        <v>0</v>
      </c>
      <c r="E67" s="334">
        <v>0</v>
      </c>
      <c r="F67" s="334">
        <v>0</v>
      </c>
    </row>
    <row r="68" spans="1:6">
      <c r="A68" s="341" t="s">
        <v>56</v>
      </c>
      <c r="B68" s="341" t="s">
        <v>60</v>
      </c>
      <c r="C68" s="334">
        <v>6</v>
      </c>
      <c r="D68" s="334">
        <v>205702.77786130799</v>
      </c>
      <c r="E68" s="334">
        <v>26</v>
      </c>
      <c r="F68" s="334">
        <v>1280540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95603422</v>
      </c>
      <c r="E73" s="477">
        <v>127272960.57486093</v>
      </c>
    </row>
    <row r="74" spans="1:6">
      <c r="A74" s="348" t="s">
        <v>64</v>
      </c>
      <c r="B74" s="348" t="s">
        <v>714</v>
      </c>
      <c r="C74" s="1229" t="s">
        <v>716</v>
      </c>
      <c r="D74" s="477">
        <v>5622279.7796772243</v>
      </c>
      <c r="E74" s="477">
        <v>7437740.9300876353</v>
      </c>
    </row>
    <row r="75" spans="1:6">
      <c r="A75" s="348" t="s">
        <v>65</v>
      </c>
      <c r="B75" s="348" t="s">
        <v>713</v>
      </c>
      <c r="C75" s="1229" t="s">
        <v>717</v>
      </c>
      <c r="D75" s="477">
        <v>28705850</v>
      </c>
      <c r="E75" s="477">
        <v>39353212.150128797</v>
      </c>
    </row>
    <row r="76" spans="1:6">
      <c r="A76" s="348" t="s">
        <v>65</v>
      </c>
      <c r="B76" s="348" t="s">
        <v>714</v>
      </c>
      <c r="C76" s="1229" t="s">
        <v>718</v>
      </c>
      <c r="D76" s="477">
        <v>489306.779677224</v>
      </c>
      <c r="E76" s="477">
        <v>811081.31767586875</v>
      </c>
    </row>
    <row r="77" spans="1:6">
      <c r="A77" s="348" t="s">
        <v>66</v>
      </c>
      <c r="B77" s="348" t="s">
        <v>713</v>
      </c>
      <c r="C77" s="1229" t="s">
        <v>719</v>
      </c>
      <c r="D77" s="477">
        <v>280909254</v>
      </c>
      <c r="E77" s="477">
        <v>304236480.48537856</v>
      </c>
    </row>
    <row r="78" spans="1:6">
      <c r="A78" s="341" t="s">
        <v>66</v>
      </c>
      <c r="B78" s="341" t="s">
        <v>714</v>
      </c>
      <c r="C78" s="341" t="s">
        <v>720</v>
      </c>
      <c r="D78" s="1225">
        <v>33979795</v>
      </c>
      <c r="E78" s="1225">
        <v>33948381.992795698</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1279930.440645552</v>
      </c>
      <c r="C83" s="477">
        <v>1272279.7999350559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1875.2144912271808</v>
      </c>
    </row>
    <row r="92" spans="1:6">
      <c r="A92" s="341" t="s">
        <v>69</v>
      </c>
      <c r="B92" s="342">
        <v>3469.2281813549512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10093</v>
      </c>
    </row>
    <row r="98" spans="1:6">
      <c r="A98" s="348" t="s">
        <v>72</v>
      </c>
      <c r="B98" s="334">
        <v>9</v>
      </c>
    </row>
    <row r="99" spans="1:6">
      <c r="A99" s="348" t="s">
        <v>73</v>
      </c>
      <c r="B99" s="334">
        <v>41</v>
      </c>
    </row>
    <row r="100" spans="1:6">
      <c r="A100" s="348" t="s">
        <v>74</v>
      </c>
      <c r="B100" s="334">
        <v>801</v>
      </c>
    </row>
    <row r="101" spans="1:6">
      <c r="A101" s="348" t="s">
        <v>75</v>
      </c>
      <c r="B101" s="334">
        <v>55</v>
      </c>
    </row>
    <row r="102" spans="1:6">
      <c r="A102" s="348" t="s">
        <v>76</v>
      </c>
      <c r="B102" s="334">
        <v>331</v>
      </c>
    </row>
    <row r="103" spans="1:6">
      <c r="A103" s="348" t="s">
        <v>77</v>
      </c>
      <c r="B103" s="334">
        <v>206</v>
      </c>
    </row>
    <row r="104" spans="1:6">
      <c r="A104" s="348" t="s">
        <v>78</v>
      </c>
      <c r="B104" s="334">
        <v>2710</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56</v>
      </c>
    </row>
    <row r="130" spans="1:6">
      <c r="A130" s="348" t="s">
        <v>295</v>
      </c>
      <c r="B130" s="334">
        <v>0</v>
      </c>
    </row>
    <row r="131" spans="1:6">
      <c r="A131" s="348" t="s">
        <v>296</v>
      </c>
      <c r="B131" s="334">
        <v>4</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185126.26134702857</v>
      </c>
      <c r="C3" s="43" t="s">
        <v>170</v>
      </c>
      <c r="D3" s="43"/>
      <c r="E3" s="154"/>
      <c r="F3" s="43"/>
      <c r="G3" s="43"/>
      <c r="H3" s="43"/>
      <c r="I3" s="43"/>
      <c r="J3" s="43"/>
      <c r="K3" s="96"/>
    </row>
    <row r="4" spans="1:11">
      <c r="A4" s="384" t="s">
        <v>171</v>
      </c>
      <c r="B4" s="49">
        <f>IF(ISERROR('SEAP template'!B69),0,'SEAP template'!B69)</f>
        <v>6712.4426725821322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325.1011764705882</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0.21474292633718411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464.43025210084039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1954.2857142857144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2613.8270000000002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2613.8270000000002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0.21474292633718411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561.30085891914302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54127.16721</v>
      </c>
      <c r="C5" s="17">
        <f>IF(ISERROR('Eigen informatie GS &amp; warmtenet'!B57),0,'Eigen informatie GS &amp; warmtenet'!B57)</f>
        <v>0</v>
      </c>
      <c r="D5" s="30">
        <f>(SUM(HH_hh_gas_kWh,HH_rest_gas_kWh)/1000)*0.902</f>
        <v>165493.99124240488</v>
      </c>
      <c r="E5" s="17">
        <f>B46*B57</f>
        <v>1462.8572720392319</v>
      </c>
      <c r="F5" s="17">
        <f>B51*B62</f>
        <v>0</v>
      </c>
      <c r="G5" s="18"/>
      <c r="H5" s="17"/>
      <c r="I5" s="17"/>
      <c r="J5" s="17">
        <f>B50*B61+C50*C61</f>
        <v>0</v>
      </c>
      <c r="K5" s="17"/>
      <c r="L5" s="17"/>
      <c r="M5" s="17"/>
      <c r="N5" s="17">
        <f>B48*B59+C48*C59</f>
        <v>7441.8167968036178</v>
      </c>
      <c r="O5" s="17">
        <f>B69*B70*B71</f>
        <v>106.30666666666667</v>
      </c>
      <c r="P5" s="17">
        <f>B77*B78*B79/1000-B77*B78*B79/1000/B80</f>
        <v>171.6</v>
      </c>
    </row>
    <row r="6" spans="1:16">
      <c r="A6" s="16" t="s">
        <v>631</v>
      </c>
      <c r="B6" s="844">
        <f>kWh_PV_kleiner_dan_10kW</f>
        <v>1875.2144912271808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56002.381701227183</v>
      </c>
      <c r="C8" s="21">
        <f>C5</f>
        <v>0</v>
      </c>
      <c r="D8" s="21">
        <f>D5</f>
        <v>165493.99124240488</v>
      </c>
      <c r="E8" s="21">
        <f>E5</f>
        <v>1462.8572720392319</v>
      </c>
      <c r="F8" s="21">
        <f>F5</f>
        <v>0</v>
      </c>
      <c r="G8" s="21"/>
      <c r="H8" s="21"/>
      <c r="I8" s="21"/>
      <c r="J8" s="21">
        <f>J5</f>
        <v>0</v>
      </c>
      <c r="K8" s="21"/>
      <c r="L8" s="21">
        <f>L5</f>
        <v>0</v>
      </c>
      <c r="M8" s="21">
        <f>M5</f>
        <v>0</v>
      </c>
      <c r="N8" s="21">
        <f>N5</f>
        <v>7441.8167968036178</v>
      </c>
      <c r="O8" s="21">
        <f>O5</f>
        <v>106.30666666666667</v>
      </c>
      <c r="P8" s="21">
        <f>P5</f>
        <v>171.6</v>
      </c>
    </row>
    <row r="9" spans="1:16">
      <c r="B9" s="19"/>
      <c r="C9" s="19"/>
      <c r="D9" s="258"/>
      <c r="E9" s="19"/>
      <c r="F9" s="19"/>
      <c r="G9" s="19"/>
      <c r="H9" s="19"/>
      <c r="I9" s="19"/>
      <c r="J9" s="19"/>
      <c r="K9" s="19"/>
      <c r="L9" s="19"/>
      <c r="M9" s="19"/>
      <c r="N9" s="19"/>
      <c r="O9" s="19"/>
      <c r="P9" s="19"/>
    </row>
    <row r="10" spans="1:16">
      <c r="A10" s="24" t="s">
        <v>214</v>
      </c>
      <c r="B10" s="25">
        <f ca="1">'EF ele_warmte'!B12</f>
        <v>0.21474292633718411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12026.115328373497</v>
      </c>
      <c r="C12" s="23">
        <f ca="1">C10*C8</f>
        <v>0</v>
      </c>
      <c r="D12" s="23">
        <f>D8*D10</f>
        <v>33429.786230965787</v>
      </c>
      <c r="E12" s="23">
        <f>E10*E8</f>
        <v>332.06860075290564</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10093</v>
      </c>
      <c r="C18" s="166" t="s">
        <v>111</v>
      </c>
      <c r="D18" s="228"/>
      <c r="E18" s="15"/>
    </row>
    <row r="19" spans="1:7">
      <c r="A19" s="171" t="s">
        <v>72</v>
      </c>
      <c r="B19" s="37">
        <f>aantalw2001_ander</f>
        <v>9</v>
      </c>
      <c r="C19" s="166" t="s">
        <v>111</v>
      </c>
      <c r="D19" s="229"/>
      <c r="E19" s="15"/>
    </row>
    <row r="20" spans="1:7">
      <c r="A20" s="171" t="s">
        <v>73</v>
      </c>
      <c r="B20" s="37">
        <f>aantalw2001_propaan</f>
        <v>41</v>
      </c>
      <c r="C20" s="167">
        <f>IF(ISERROR(B20/SUM($B$20,$B$21,$B$22)*100),0,B20/SUM($B$20,$B$21,$B$22)*100)</f>
        <v>4.5707915273132667</v>
      </c>
      <c r="D20" s="229"/>
      <c r="E20" s="15"/>
    </row>
    <row r="21" spans="1:7">
      <c r="A21" s="171" t="s">
        <v>74</v>
      </c>
      <c r="B21" s="37">
        <f>aantalw2001_elektriciteit</f>
        <v>801</v>
      </c>
      <c r="C21" s="167">
        <f>IF(ISERROR(B21/SUM($B$20,$B$21,$B$22)*100),0,B21/SUM($B$20,$B$21,$B$22)*100)</f>
        <v>89.297658862876247</v>
      </c>
      <c r="D21" s="229"/>
      <c r="E21" s="15"/>
    </row>
    <row r="22" spans="1:7">
      <c r="A22" s="171" t="s">
        <v>75</v>
      </c>
      <c r="B22" s="37">
        <f>aantalw2001_hout</f>
        <v>55</v>
      </c>
      <c r="C22" s="167">
        <f>IF(ISERROR(B22/SUM($B$20,$B$21,$B$22)*100),0,B22/SUM($B$20,$B$21,$B$22)*100)</f>
        <v>6.1315496098104791</v>
      </c>
      <c r="D22" s="229"/>
      <c r="E22" s="15"/>
    </row>
    <row r="23" spans="1:7">
      <c r="A23" s="171" t="s">
        <v>76</v>
      </c>
      <c r="B23" s="37">
        <f>aantalw2001_niet_gespec</f>
        <v>331</v>
      </c>
      <c r="C23" s="166" t="s">
        <v>111</v>
      </c>
      <c r="D23" s="228"/>
      <c r="E23" s="15"/>
    </row>
    <row r="24" spans="1:7">
      <c r="A24" s="171" t="s">
        <v>77</v>
      </c>
      <c r="B24" s="37">
        <f>aantalw2001_steenkool</f>
        <v>206</v>
      </c>
      <c r="C24" s="166" t="s">
        <v>111</v>
      </c>
      <c r="D24" s="229"/>
      <c r="E24" s="15"/>
    </row>
    <row r="25" spans="1:7">
      <c r="A25" s="171" t="s">
        <v>78</v>
      </c>
      <c r="B25" s="37">
        <f>aantalw2001_stookolie</f>
        <v>2710</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16280</v>
      </c>
      <c r="C28" s="36"/>
      <c r="D28" s="228"/>
    </row>
    <row r="29" spans="1:7" s="15" customFormat="1">
      <c r="A29" s="230" t="s">
        <v>741</v>
      </c>
      <c r="B29" s="37">
        <f>SUM(HH_hh_gas_aantal,HH_rest_gas_aantal)</f>
        <v>14126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14126</v>
      </c>
      <c r="C32" s="167">
        <f>IF(ISERROR(B32/SUM($B$32,$B$34,$B$35,$B$36,$B$38,$B$39)*100),0,B32/SUM($B$32,$B$34,$B$35,$B$36,$B$38,$B$39)*100)</f>
        <v>86.817036445209268</v>
      </c>
      <c r="D32" s="233"/>
      <c r="G32" s="15"/>
    </row>
    <row r="33" spans="1:7">
      <c r="A33" s="171" t="s">
        <v>72</v>
      </c>
      <c r="B33" s="34" t="s">
        <v>111</v>
      </c>
      <c r="C33" s="167"/>
      <c r="D33" s="233"/>
      <c r="G33" s="15"/>
    </row>
    <row r="34" spans="1:7">
      <c r="A34" s="171" t="s">
        <v>73</v>
      </c>
      <c r="B34" s="33">
        <f>IF((($B$28-$B$32-$B$39-$B$77-$B$38)*C20/100)&lt;0,0,($B$28-$B$32-$B$39-$B$77-$B$38)*C20/100)</f>
        <v>98.043478260869577</v>
      </c>
      <c r="C34" s="167">
        <f>IF(ISERROR(B34/SUM($B$32,$B$34,$B$35,$B$36,$B$38,$B$39)*100),0,B34/SUM($B$32,$B$34,$B$35,$B$36,$B$38,$B$39)*100)</f>
        <v>0.60256578121117066</v>
      </c>
      <c r="D34" s="233"/>
      <c r="G34" s="15"/>
    </row>
    <row r="35" spans="1:7">
      <c r="A35" s="171" t="s">
        <v>74</v>
      </c>
      <c r="B35" s="33">
        <f>IF((($B$28-$B$32-$B$39-$B$77-$B$38)*C21/100)&lt;0,0,($B$28-$B$32-$B$39-$B$77-$B$38)*C21/100)</f>
        <v>1915.4347826086953</v>
      </c>
      <c r="C35" s="167">
        <f>IF(ISERROR(B35/SUM($B$32,$B$34,$B$35,$B$36,$B$38,$B$39)*100),0,B35/SUM($B$32,$B$34,$B$35,$B$36,$B$38,$B$39)*100)</f>
        <v>11.77207782317433</v>
      </c>
      <c r="D35" s="233"/>
      <c r="G35" s="15"/>
    </row>
    <row r="36" spans="1:7">
      <c r="A36" s="171" t="s">
        <v>75</v>
      </c>
      <c r="B36" s="33">
        <f>IF((($B$28-$B$32-$B$39-$B$77-$B$38)*C22/100)&lt;0,0,($B$28-$B$32-$B$39-$B$77-$B$38)*C22/100)</f>
        <v>131.52173913043478</v>
      </c>
      <c r="C36" s="167">
        <f>IF(ISERROR(B36/SUM($B$32,$B$34,$B$35,$B$36,$B$38,$B$39)*100),0,B36/SUM($B$32,$B$34,$B$35,$B$36,$B$38,$B$39)*100)</f>
        <v>0.80831995040522886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14126</v>
      </c>
      <c r="C44" s="34" t="s">
        <v>111</v>
      </c>
      <c r="D44" s="174"/>
    </row>
    <row r="45" spans="1:7">
      <c r="A45" s="171" t="s">
        <v>72</v>
      </c>
      <c r="B45" s="33" t="str">
        <f t="shared" si="0"/>
        <v>-</v>
      </c>
      <c r="C45" s="34" t="s">
        <v>111</v>
      </c>
      <c r="D45" s="174"/>
    </row>
    <row r="46" spans="1:7">
      <c r="A46" s="171" t="s">
        <v>73</v>
      </c>
      <c r="B46" s="33">
        <f t="shared" si="0"/>
        <v>98.043478260869577</v>
      </c>
      <c r="C46" s="34" t="s">
        <v>111</v>
      </c>
      <c r="D46" s="174"/>
    </row>
    <row r="47" spans="1:7">
      <c r="A47" s="171" t="s">
        <v>74</v>
      </c>
      <c r="B47" s="33">
        <f t="shared" si="0"/>
        <v>1915.4347826086953</v>
      </c>
      <c r="C47" s="34" t="s">
        <v>111</v>
      </c>
      <c r="D47" s="174"/>
    </row>
    <row r="48" spans="1:7">
      <c r="A48" s="171" t="s">
        <v>75</v>
      </c>
      <c r="B48" s="33">
        <f t="shared" si="0"/>
        <v>131.52173913043478</v>
      </c>
      <c r="C48" s="33">
        <f>B48*10</f>
        <v>1315.2173913043478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85540.054999999993</v>
      </c>
      <c r="C5" s="17">
        <f>IF(ISERROR('Eigen informatie GS &amp; warmtenet'!B58),0,'Eigen informatie GS &amp; warmtenet'!B58)</f>
        <v>0</v>
      </c>
      <c r="D5" s="30">
        <f>SUM(D6:D12)</f>
        <v>100053.38942107541</v>
      </c>
      <c r="E5" s="17">
        <f>SUM(E6:E12)</f>
        <v>1019.1289171846679</v>
      </c>
      <c r="F5" s="17">
        <f>SUM(F6:F12)</f>
        <v>12537.719474919668</v>
      </c>
      <c r="G5" s="18"/>
      <c r="H5" s="17"/>
      <c r="I5" s="17"/>
      <c r="J5" s="17">
        <f>SUM(J6:J12)</f>
        <v>0</v>
      </c>
      <c r="K5" s="17"/>
      <c r="L5" s="17"/>
      <c r="M5" s="17"/>
      <c r="N5" s="17">
        <f>SUM(N6:N12)</f>
        <v>4292.7746234281203</v>
      </c>
      <c r="O5" s="17">
        <f>B38*B39*B40</f>
        <v>0</v>
      </c>
      <c r="P5" s="17">
        <f>B46*B47*B48/1000-B46*B47*B48/1000/B49</f>
        <v>76.266666666666666</v>
      </c>
      <c r="R5" s="32"/>
    </row>
    <row r="6" spans="1:18">
      <c r="A6" s="32" t="s">
        <v>54</v>
      </c>
      <c r="B6" s="37">
        <f>B26</f>
        <v>26615.276000000002</v>
      </c>
      <c r="C6" s="33"/>
      <c r="D6" s="37">
        <f>IF(ISERROR(TER_kantoor_gas_kWh/1000),0,TER_kantoor_gas_kWh/1000)*0.902</f>
        <v>37527.213698705076</v>
      </c>
      <c r="E6" s="33">
        <f>$C$26*'E Balans VL '!I12/100/3.6*1000000</f>
        <v>77.108359586691378</v>
      </c>
      <c r="F6" s="33">
        <f>$C$26*('E Balans VL '!L12+'E Balans VL '!N12)/100/3.6*1000000</f>
        <v>3012.2628632063042</v>
      </c>
      <c r="G6" s="34"/>
      <c r="H6" s="33"/>
      <c r="I6" s="33"/>
      <c r="J6" s="33">
        <f>$C$26*('E Balans VL '!D12+'E Balans VL '!E12)/100/3.6*1000000</f>
        <v>0</v>
      </c>
      <c r="K6" s="33"/>
      <c r="L6" s="33"/>
      <c r="M6" s="33"/>
      <c r="N6" s="33">
        <f>$C$26*'E Balans VL '!Y12/100/3.6*1000000</f>
        <v>266.39930174903571</v>
      </c>
      <c r="O6" s="33"/>
      <c r="P6" s="33"/>
      <c r="R6" s="32"/>
    </row>
    <row r="7" spans="1:18">
      <c r="A7" s="32" t="s">
        <v>53</v>
      </c>
      <c r="B7" s="37">
        <f t="shared" ref="B7:B12" si="0">B27</f>
        <v>12544.061</v>
      </c>
      <c r="C7" s="33"/>
      <c r="D7" s="37">
        <f>IF(ISERROR(TER_horeca_gas_kWh/1000),0,TER_horeca_gas_kWh/1000)*0.902</f>
        <v>20376.971455313691</v>
      </c>
      <c r="E7" s="33">
        <f>$C$27*'E Balans VL '!I9/100/3.6*1000000</f>
        <v>526.5646333662371</v>
      </c>
      <c r="F7" s="33">
        <f>$C$27*('E Balans VL '!L9+'E Balans VL '!N9)/100/3.6*1000000</f>
        <v>2695.3487460484444</v>
      </c>
      <c r="G7" s="34"/>
      <c r="H7" s="33"/>
      <c r="I7" s="33"/>
      <c r="J7" s="33">
        <f>$C$27*('E Balans VL '!D9+'E Balans VL '!E9)/100/3.6*1000000</f>
        <v>0</v>
      </c>
      <c r="K7" s="33"/>
      <c r="L7" s="33"/>
      <c r="M7" s="33"/>
      <c r="N7" s="33">
        <f>$C$27*'E Balans VL '!Y9/100/3.6*1000000</f>
        <v>3.2324948179068684</v>
      </c>
      <c r="O7" s="33"/>
      <c r="P7" s="33"/>
      <c r="R7" s="32"/>
    </row>
    <row r="8" spans="1:18">
      <c r="A8" s="6" t="s">
        <v>52</v>
      </c>
      <c r="B8" s="37">
        <f t="shared" si="0"/>
        <v>19190.268</v>
      </c>
      <c r="C8" s="33"/>
      <c r="D8" s="37">
        <f>IF(ISERROR(TER_handel_gas_kWh/1000),0,TER_handel_gas_kWh/1000)*0.902</f>
        <v>16410.415499285697</v>
      </c>
      <c r="E8" s="33">
        <f>$C$28*'E Balans VL '!I13/100/3.6*1000000</f>
        <v>206.1194499260381</v>
      </c>
      <c r="F8" s="33">
        <f>$C$28*('E Balans VL '!L13+'E Balans VL '!N13)/100/3.6*1000000</f>
        <v>2484.3386625663184</v>
      </c>
      <c r="G8" s="34"/>
      <c r="H8" s="33"/>
      <c r="I8" s="33"/>
      <c r="J8" s="33">
        <f>$C$28*('E Balans VL '!D13+'E Balans VL '!E13)/100/3.6*1000000</f>
        <v>0</v>
      </c>
      <c r="K8" s="33"/>
      <c r="L8" s="33"/>
      <c r="M8" s="33"/>
      <c r="N8" s="33">
        <f>$C$28*'E Balans VL '!Y13/100/3.6*1000000</f>
        <v>155.67250185019213</v>
      </c>
      <c r="O8" s="33"/>
      <c r="P8" s="33"/>
      <c r="R8" s="32"/>
    </row>
    <row r="9" spans="1:18">
      <c r="A9" s="32" t="s">
        <v>51</v>
      </c>
      <c r="B9" s="37">
        <f t="shared" si="0"/>
        <v>1149.5899999999999</v>
      </c>
      <c r="C9" s="33"/>
      <c r="D9" s="37">
        <f>IF(ISERROR(TER_gezond_gas_kWh/1000),0,TER_gezond_gas_kWh/1000)*0.902</f>
        <v>2889.212779423196</v>
      </c>
      <c r="E9" s="33">
        <f>$C$29*'E Balans VL '!I10/100/3.6*1000000</f>
        <v>0.91514799348921083</v>
      </c>
      <c r="F9" s="33">
        <f>$C$29*('E Balans VL '!L10+'E Balans VL '!N10)/100/3.6*1000000</f>
        <v>139.74927757184605</v>
      </c>
      <c r="G9" s="34"/>
      <c r="H9" s="33"/>
      <c r="I9" s="33"/>
      <c r="J9" s="33">
        <f>$C$29*('E Balans VL '!D10+'E Balans VL '!E10)/100/3.6*1000000</f>
        <v>0</v>
      </c>
      <c r="K9" s="33"/>
      <c r="L9" s="33"/>
      <c r="M9" s="33"/>
      <c r="N9" s="33">
        <f>$C$29*'E Balans VL '!Y10/100/3.6*1000000</f>
        <v>9.2860834561404726</v>
      </c>
      <c r="O9" s="33"/>
      <c r="P9" s="33"/>
      <c r="R9" s="32"/>
    </row>
    <row r="10" spans="1:18">
      <c r="A10" s="32" t="s">
        <v>50</v>
      </c>
      <c r="B10" s="37">
        <f t="shared" si="0"/>
        <v>2826.2979999999998</v>
      </c>
      <c r="C10" s="33"/>
      <c r="D10" s="37">
        <f>IF(ISERROR(TER_ander_gas_kWh/1000),0,TER_ander_gas_kWh/1000)*0.902</f>
        <v>2825.3455191176586</v>
      </c>
      <c r="E10" s="33">
        <f>$C$30*'E Balans VL '!I14/100/3.6*1000000</f>
        <v>9.6858717206645526</v>
      </c>
      <c r="F10" s="33">
        <f>$C$30*('E Balans VL '!L14+'E Balans VL '!N14)/100/3.6*1000000</f>
        <v>631.28012597788097</v>
      </c>
      <c r="G10" s="34"/>
      <c r="H10" s="33"/>
      <c r="I10" s="33"/>
      <c r="J10" s="33">
        <f>$C$30*('E Balans VL '!D14+'E Balans VL '!E14)/100/3.6*1000000</f>
        <v>0</v>
      </c>
      <c r="K10" s="33"/>
      <c r="L10" s="33"/>
      <c r="M10" s="33"/>
      <c r="N10" s="33">
        <f>$C$30*'E Balans VL '!Y14/100/3.6*1000000</f>
        <v>1990.8597509641681</v>
      </c>
      <c r="O10" s="33"/>
      <c r="P10" s="33"/>
      <c r="R10" s="32"/>
    </row>
    <row r="11" spans="1:18">
      <c r="A11" s="32" t="s">
        <v>55</v>
      </c>
      <c r="B11" s="37">
        <f t="shared" si="0"/>
        <v>1335.4549999999999</v>
      </c>
      <c r="C11" s="33"/>
      <c r="D11" s="37">
        <f>IF(ISERROR(TER_onderwijs_gas_kWh/1000),0,TER_onderwijs_gas_kWh/1000)*0.902</f>
        <v>75.835062471869179</v>
      </c>
      <c r="E11" s="33">
        <f>$C$31*'E Balans VL '!I11/100/3.6*1000000</f>
        <v>0.92315891272288586</v>
      </c>
      <c r="F11" s="33">
        <f>$C$31*('E Balans VL '!L11+'E Balans VL '!N11)/100/3.6*1000000</f>
        <v>349.58332666437309</v>
      </c>
      <c r="G11" s="34"/>
      <c r="H11" s="33"/>
      <c r="I11" s="33"/>
      <c r="J11" s="33">
        <f>$C$31*('E Balans VL '!D11+'E Balans VL '!E11)/100/3.6*1000000</f>
        <v>0</v>
      </c>
      <c r="K11" s="33"/>
      <c r="L11" s="33"/>
      <c r="M11" s="33"/>
      <c r="N11" s="33">
        <f>$C$31*'E Balans VL '!Y11/100/3.6*1000000</f>
        <v>1.3293317073161639</v>
      </c>
      <c r="O11" s="33"/>
      <c r="P11" s="33"/>
      <c r="R11" s="32"/>
    </row>
    <row r="12" spans="1:18">
      <c r="A12" s="32" t="s">
        <v>260</v>
      </c>
      <c r="B12" s="37">
        <f t="shared" si="0"/>
        <v>21879.107</v>
      </c>
      <c r="C12" s="33"/>
      <c r="D12" s="37">
        <f>IF(ISERROR(TER_rest_gas_kWh/1000),0,TER_rest_gas_kWh/1000)*0.902</f>
        <v>19948.395406758231</v>
      </c>
      <c r="E12" s="33">
        <f>$C$32*'E Balans VL '!I8/100/3.6*1000000</f>
        <v>197.8122956788248</v>
      </c>
      <c r="F12" s="33">
        <f>$C$32*('E Balans VL '!L8+'E Balans VL '!N8)/100/3.6*1000000</f>
        <v>3225.1564728845015</v>
      </c>
      <c r="G12" s="34"/>
      <c r="H12" s="33"/>
      <c r="I12" s="33"/>
      <c r="J12" s="33">
        <f>$C$32*('E Balans VL '!D8+'E Balans VL '!E8)/100/3.6*1000000</f>
        <v>0</v>
      </c>
      <c r="K12" s="33"/>
      <c r="L12" s="33"/>
      <c r="M12" s="33"/>
      <c r="N12" s="33">
        <f>$C$32*'E Balans VL '!Y8/100/3.6*1000000</f>
        <v>1865.9951588833603</v>
      </c>
      <c r="O12" s="33"/>
      <c r="P12" s="33"/>
      <c r="R12" s="32"/>
    </row>
    <row r="13" spans="1:18">
      <c r="A13" s="16" t="s">
        <v>494</v>
      </c>
      <c r="B13" s="247">
        <f ca="1">'lokale energieproductie'!N90+'lokale energieproductie'!N59</f>
        <v>1350</v>
      </c>
      <c r="C13" s="247">
        <f ca="1">'lokale energieproductie'!O90+'lokale energieproductie'!O59</f>
        <v>1928.5714285714287</v>
      </c>
      <c r="D13" s="310">
        <f ca="1">('lokale energieproductie'!P59+'lokale energieproductie'!P90)*(-1)</f>
        <v>-3857.1428571428573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86890.054999999993</v>
      </c>
      <c r="C16" s="21">
        <f t="shared" ca="1" si="1"/>
        <v>1928.5714285714287</v>
      </c>
      <c r="D16" s="21">
        <f t="shared" ca="1" si="1"/>
        <v>96196.246563932553</v>
      </c>
      <c r="E16" s="21">
        <f t="shared" si="1"/>
        <v>1019.1289171846679</v>
      </c>
      <c r="F16" s="21">
        <f t="shared" ca="1" si="1"/>
        <v>12537.719474919668</v>
      </c>
      <c r="G16" s="21">
        <f t="shared" si="1"/>
        <v>0</v>
      </c>
      <c r="H16" s="21">
        <f t="shared" si="1"/>
        <v>0</v>
      </c>
      <c r="I16" s="21">
        <f t="shared" si="1"/>
        <v>0</v>
      </c>
      <c r="J16" s="21">
        <f t="shared" si="1"/>
        <v>0</v>
      </c>
      <c r="K16" s="21">
        <f t="shared" si="1"/>
        <v>0</v>
      </c>
      <c r="L16" s="21">
        <f t="shared" ca="1" si="1"/>
        <v>0</v>
      </c>
      <c r="M16" s="21">
        <f t="shared" si="1"/>
        <v>0</v>
      </c>
      <c r="N16" s="21">
        <f t="shared" ca="1" si="1"/>
        <v>4292.7746234281203</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0.21474292633718411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18659.024680298873</v>
      </c>
      <c r="C20" s="23">
        <f t="shared" ref="C20:P20" ca="1" si="2">C16*C18</f>
        <v>458.31932773109253</v>
      </c>
      <c r="D20" s="23">
        <f t="shared" ca="1" si="2"/>
        <v>19431.641805914376</v>
      </c>
      <c r="E20" s="23">
        <f t="shared" si="2"/>
        <v>231.34226420091963</v>
      </c>
      <c r="F20" s="23">
        <f t="shared" ca="1" si="2"/>
        <v>3347.5710998035515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26615.276000000002</v>
      </c>
      <c r="C26" s="39">
        <f>IF(ISERROR(B26*3.6/1000000/'E Balans VL '!Z12*100),0,B26*3.6/1000000/'E Balans VL '!Z12*100)</f>
        <v>0.58463530768031302</v>
      </c>
      <c r="D26" s="237" t="s">
        <v>692</v>
      </c>
      <c r="F26" s="6"/>
    </row>
    <row r="27" spans="1:18">
      <c r="A27" s="231" t="s">
        <v>53</v>
      </c>
      <c r="B27" s="33">
        <f>IF(ISERROR(TER_horeca_ele_kWh/1000),0,TER_horeca_ele_kWh/1000)</f>
        <v>12544.061</v>
      </c>
      <c r="C27" s="39">
        <f>IF(ISERROR(B27*3.6/1000000/'E Balans VL '!Z9*100),0,B27*3.6/1000000/'E Balans VL '!Z9*100)</f>
        <v>1.0080403420269133</v>
      </c>
      <c r="D27" s="237" t="s">
        <v>692</v>
      </c>
      <c r="F27" s="6"/>
    </row>
    <row r="28" spans="1:18">
      <c r="A28" s="171" t="s">
        <v>52</v>
      </c>
      <c r="B28" s="33">
        <f>IF(ISERROR(TER_handel_ele_kWh/1000),0,TER_handel_ele_kWh/1000)</f>
        <v>19190.268</v>
      </c>
      <c r="C28" s="39">
        <f>IF(ISERROR(B28*3.6/1000000/'E Balans VL '!Z13*100),0,B28*3.6/1000000/'E Balans VL '!Z13*100)</f>
        <v>0.56744281815728248</v>
      </c>
      <c r="D28" s="237" t="s">
        <v>692</v>
      </c>
      <c r="F28" s="6"/>
    </row>
    <row r="29" spans="1:18">
      <c r="A29" s="231" t="s">
        <v>51</v>
      </c>
      <c r="B29" s="33">
        <f>IF(ISERROR(TER_gezond_ele_kWh/1000),0,TER_gezond_ele_kWh/1000)</f>
        <v>1149.5899999999999</v>
      </c>
      <c r="C29" s="39">
        <f>IF(ISERROR(B29*3.6/1000000/'E Balans VL '!Z10*100),0,B29*3.6/1000000/'E Balans VL '!Z10*100)</f>
        <v>0.12952911320248073</v>
      </c>
      <c r="D29" s="237" t="s">
        <v>692</v>
      </c>
      <c r="F29" s="6"/>
    </row>
    <row r="30" spans="1:18">
      <c r="A30" s="231" t="s">
        <v>50</v>
      </c>
      <c r="B30" s="33">
        <f>IF(ISERROR(TER_ander_ele_kWh/1000),0,TER_ander_ele_kWh/1000)</f>
        <v>2826.2979999999998</v>
      </c>
      <c r="C30" s="39">
        <f>IF(ISERROR(B30*3.6/1000000/'E Balans VL '!Z14*100),0,B30*3.6/1000000/'E Balans VL '!Z14*100)</f>
        <v>0.21374808640180085</v>
      </c>
      <c r="D30" s="237" t="s">
        <v>692</v>
      </c>
      <c r="F30" s="6"/>
    </row>
    <row r="31" spans="1:18">
      <c r="A31" s="231" t="s">
        <v>55</v>
      </c>
      <c r="B31" s="33">
        <f>IF(ISERROR(TER_onderwijs_ele_kWh/1000),0,TER_onderwijs_ele_kWh/1000)</f>
        <v>1335.4549999999999</v>
      </c>
      <c r="C31" s="39">
        <f>IF(ISERROR(B31*3.6/1000000/'E Balans VL '!Z11*100),0,B31*3.6/1000000/'E Balans VL '!Z11*100)</f>
        <v>0.27720945674307212</v>
      </c>
      <c r="D31" s="237" t="s">
        <v>692</v>
      </c>
    </row>
    <row r="32" spans="1:18">
      <c r="A32" s="231" t="s">
        <v>260</v>
      </c>
      <c r="B32" s="33">
        <f>IF(ISERROR(TER_rest_ele_kWh/1000),0,TER_rest_ele_kWh/1000)</f>
        <v>21879.107</v>
      </c>
      <c r="C32" s="39">
        <f>IF(ISERROR(B32*3.6/1000000/'E Balans VL '!Z8*100),0,B32*3.6/1000000/'E Balans VL '!Z8*100)</f>
        <v>0.18431860543222514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39522.05603</v>
      </c>
      <c r="C5" s="17">
        <f>IF(ISERROR('Eigen informatie GS &amp; warmtenet'!B59),0,'Eigen informatie GS &amp; warmtenet'!B59)</f>
        <v>0</v>
      </c>
      <c r="D5" s="30">
        <f>SUM(D6:D15)</f>
        <v>12720.736456878916</v>
      </c>
      <c r="E5" s="17">
        <f>SUM(E6:E15)</f>
        <v>2003.8018794068716</v>
      </c>
      <c r="F5" s="17">
        <f>SUM(F6:F15)</f>
        <v>13632.992032024249</v>
      </c>
      <c r="G5" s="18"/>
      <c r="H5" s="17"/>
      <c r="I5" s="17"/>
      <c r="J5" s="17">
        <f>SUM(J6:J15)</f>
        <v>194.24134977681979</v>
      </c>
      <c r="K5" s="17"/>
      <c r="L5" s="17"/>
      <c r="M5" s="17"/>
      <c r="N5" s="17">
        <f>SUM(N6:N15)</f>
        <v>7741.7297869124668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698.14670000000001</v>
      </c>
      <c r="C8" s="33"/>
      <c r="D8" s="37">
        <f>IF( ISERROR(IND_metaal_Gas_kWH/1000),0,IND_metaal_Gas_kWH/1000)*0.902</f>
        <v>366.30767947951023</v>
      </c>
      <c r="E8" s="33">
        <f>C30*'E Balans VL '!I18/100/3.6*1000000</f>
        <v>17.472168439897739</v>
      </c>
      <c r="F8" s="33">
        <f>C30*'E Balans VL '!L18/100/3.6*1000000+C30*'E Balans VL '!N18/100/3.6*1000000</f>
        <v>218.80264854028275</v>
      </c>
      <c r="G8" s="34"/>
      <c r="H8" s="33"/>
      <c r="I8" s="33"/>
      <c r="J8" s="40">
        <f>C30*'E Balans VL '!D18/100/3.6*1000000+C30*'E Balans VL '!E18/100/3.6*1000000</f>
        <v>0</v>
      </c>
      <c r="K8" s="33"/>
      <c r="L8" s="33"/>
      <c r="M8" s="33"/>
      <c r="N8" s="33">
        <f>C30*'E Balans VL '!Y18/100/3.6*1000000</f>
        <v>17.539256952680919</v>
      </c>
      <c r="O8" s="33"/>
      <c r="P8" s="33"/>
      <c r="R8" s="32"/>
    </row>
    <row r="9" spans="1:18">
      <c r="A9" s="6" t="s">
        <v>33</v>
      </c>
      <c r="B9" s="37">
        <f t="shared" si="0"/>
        <v>1464.6369999999999</v>
      </c>
      <c r="C9" s="33"/>
      <c r="D9" s="37">
        <f>IF( ISERROR(IND_andere_gas_kWh/1000),0,IND_andere_gas_kWh/1000)*0.902</f>
        <v>3181.6186977697294</v>
      </c>
      <c r="E9" s="33">
        <f>C31*'E Balans VL '!I19/100/3.6*1000000</f>
        <v>402.71510283201957</v>
      </c>
      <c r="F9" s="33">
        <f>C31*'E Balans VL '!L19/100/3.6*1000000+C31*'E Balans VL '!N19/100/3.6*1000000</f>
        <v>1154.3888211367967</v>
      </c>
      <c r="G9" s="34"/>
      <c r="H9" s="33"/>
      <c r="I9" s="33"/>
      <c r="J9" s="40">
        <f>C31*'E Balans VL '!D19/100/3.6*1000000+C31*'E Balans VL '!E19/100/3.6*1000000</f>
        <v>0</v>
      </c>
      <c r="K9" s="33"/>
      <c r="L9" s="33"/>
      <c r="M9" s="33"/>
      <c r="N9" s="33">
        <f>C31*'E Balans VL '!Y19/100/3.6*1000000</f>
        <v>474.14165684747729</v>
      </c>
      <c r="O9" s="33"/>
      <c r="P9" s="33"/>
      <c r="R9" s="32"/>
    </row>
    <row r="10" spans="1:18">
      <c r="A10" s="6" t="s">
        <v>41</v>
      </c>
      <c r="B10" s="37">
        <f t="shared" si="0"/>
        <v>2812.576</v>
      </c>
      <c r="C10" s="33"/>
      <c r="D10" s="37">
        <f>IF( ISERROR(IND_voed_gas_kWh/1000),0,IND_voed_gas_kWh/1000)*0.902</f>
        <v>373.21694606420948</v>
      </c>
      <c r="E10" s="33">
        <f>C32*'E Balans VL '!I20/100/3.6*1000000</f>
        <v>28.672662863040365</v>
      </c>
      <c r="F10" s="33">
        <f>C32*'E Balans VL '!L20/100/3.6*1000000+C32*'E Balans VL '!N20/100/3.6*1000000</f>
        <v>5312.9384730351921</v>
      </c>
      <c r="G10" s="34"/>
      <c r="H10" s="33"/>
      <c r="I10" s="33"/>
      <c r="J10" s="40">
        <f>C32*'E Balans VL '!D20/100/3.6*1000000+C32*'E Balans VL '!E20/100/3.6*1000000</f>
        <v>67.314146470336681</v>
      </c>
      <c r="K10" s="33"/>
      <c r="L10" s="33"/>
      <c r="M10" s="33"/>
      <c r="N10" s="33">
        <f>C32*'E Balans VL '!Y20/100/3.6*1000000</f>
        <v>1482.5515210289623</v>
      </c>
      <c r="O10" s="33"/>
      <c r="P10" s="33"/>
      <c r="R10" s="32"/>
    </row>
    <row r="11" spans="1:18">
      <c r="A11" s="6" t="s">
        <v>40</v>
      </c>
      <c r="B11" s="37">
        <f t="shared" si="0"/>
        <v>37.48274</v>
      </c>
      <c r="C11" s="33"/>
      <c r="D11" s="37">
        <f>IF( ISERROR(IND_textiel_gas_kWh/1000),0,IND_textiel_gas_kWh/1000)*0.902</f>
        <v>96.145219215452926</v>
      </c>
      <c r="E11" s="33">
        <f>C33*'E Balans VL '!I21/100/3.6*1000000</f>
        <v>9.9347598212447347E-2</v>
      </c>
      <c r="F11" s="33">
        <f>C33*'E Balans VL '!L21/100/3.6*1000000+C33*'E Balans VL '!N21/100/3.6*1000000</f>
        <v>1.6740178347254808</v>
      </c>
      <c r="G11" s="34"/>
      <c r="H11" s="33"/>
      <c r="I11" s="33"/>
      <c r="J11" s="40">
        <f>C33*'E Balans VL '!D21/100/3.6*1000000+C33*'E Balans VL '!E21/100/3.6*1000000</f>
        <v>0</v>
      </c>
      <c r="K11" s="33"/>
      <c r="L11" s="33"/>
      <c r="M11" s="33"/>
      <c r="N11" s="33">
        <f>C33*'E Balans VL '!Y21/100/3.6*1000000</f>
        <v>0.35324803025902479</v>
      </c>
      <c r="O11" s="33"/>
      <c r="P11" s="33"/>
      <c r="R11" s="32"/>
    </row>
    <row r="12" spans="1:18">
      <c r="A12" s="6" t="s">
        <v>37</v>
      </c>
      <c r="B12" s="37">
        <f t="shared" si="0"/>
        <v>11.46208</v>
      </c>
      <c r="C12" s="33"/>
      <c r="D12" s="37">
        <f>IF( ISERROR(IND_min_gas_kWh/1000),0,IND_min_gas_kWh/1000)*0.902</f>
        <v>4.605127918753932</v>
      </c>
      <c r="E12" s="33">
        <f>C34*'E Balans VL '!I22/100/3.6*1000000</f>
        <v>3.4713455414495199E-2</v>
      </c>
      <c r="F12" s="33">
        <f>C34*'E Balans VL '!L22/100/3.6*1000000+C34*'E Balans VL '!N22/100/3.6*1000000</f>
        <v>0.35819985436401436</v>
      </c>
      <c r="G12" s="34"/>
      <c r="H12" s="33"/>
      <c r="I12" s="33"/>
      <c r="J12" s="40">
        <f>C34*'E Balans VL '!D22/100/3.6*1000000+C34*'E Balans VL '!E22/100/3.6*1000000</f>
        <v>1.6995720189353084E-2</v>
      </c>
      <c r="K12" s="33"/>
      <c r="L12" s="33"/>
      <c r="M12" s="33"/>
      <c r="N12" s="33">
        <f>C34*'E Balans VL '!Y22/100/3.6*1000000</f>
        <v>0</v>
      </c>
      <c r="O12" s="33"/>
      <c r="P12" s="33"/>
      <c r="R12" s="32"/>
    </row>
    <row r="13" spans="1:18">
      <c r="A13" s="6" t="s">
        <v>39</v>
      </c>
      <c r="B13" s="37">
        <f t="shared" si="0"/>
        <v>27.214509999999997</v>
      </c>
      <c r="C13" s="33"/>
      <c r="D13" s="37">
        <f>IF( ISERROR(IND_papier_gas_kWh/1000),0,IND_papier_gas_kWh/1000)*0.902</f>
        <v>78.302703638433201</v>
      </c>
      <c r="E13" s="33">
        <f>C35*'E Balans VL '!I23/100/3.6*1000000</f>
        <v>5.6363087145192378E-2</v>
      </c>
      <c r="F13" s="33">
        <f>C35*'E Balans VL '!L23/100/3.6*1000000+C35*'E Balans VL '!N23/100/3.6*1000000</f>
        <v>0.539722076572271</v>
      </c>
      <c r="G13" s="34"/>
      <c r="H13" s="33"/>
      <c r="I13" s="33"/>
      <c r="J13" s="40">
        <f>C35*'E Balans VL '!D23/100/3.6*1000000+C35*'E Balans VL '!E23/100/3.6*1000000</f>
        <v>0</v>
      </c>
      <c r="K13" s="33"/>
      <c r="L13" s="33"/>
      <c r="M13" s="33"/>
      <c r="N13" s="33">
        <f>C35*'E Balans VL '!Y23/100/3.6*1000000</f>
        <v>11.491268847398921</v>
      </c>
      <c r="O13" s="33"/>
      <c r="P13" s="33"/>
      <c r="R13" s="32"/>
    </row>
    <row r="14" spans="1:18">
      <c r="A14" s="6" t="s">
        <v>34</v>
      </c>
      <c r="B14" s="37">
        <f t="shared" si="0"/>
        <v>4220.1880000000001</v>
      </c>
      <c r="C14" s="33"/>
      <c r="D14" s="37">
        <f>IF( ISERROR(IND_chemie_gas_kWh/1000),0,IND_chemie_gas_kWh/1000)*0.902</f>
        <v>4270.9383944484644</v>
      </c>
      <c r="E14" s="33">
        <f>C36*'E Balans VL '!I24/100/3.6*1000000</f>
        <v>15.822178371251551</v>
      </c>
      <c r="F14" s="33">
        <f>C36*'E Balans VL '!L24/100/3.6*1000000+C36*'E Balans VL '!N24/100/3.6*1000000</f>
        <v>49.097466809191381</v>
      </c>
      <c r="G14" s="34"/>
      <c r="H14" s="33"/>
      <c r="I14" s="33"/>
      <c r="J14" s="40">
        <f>C36*'E Balans VL '!D24/100/3.6*1000000+C36*'E Balans VL '!E24/100/3.6*1000000</f>
        <v>0</v>
      </c>
      <c r="K14" s="33"/>
      <c r="L14" s="33"/>
      <c r="M14" s="33"/>
      <c r="N14" s="33">
        <f>C36*'E Balans VL '!Y24/100/3.6*1000000</f>
        <v>72.099886629457345</v>
      </c>
      <c r="O14" s="33"/>
      <c r="P14" s="33"/>
      <c r="R14" s="32"/>
    </row>
    <row r="15" spans="1:18">
      <c r="A15" s="6" t="s">
        <v>270</v>
      </c>
      <c r="B15" s="37">
        <f t="shared" si="0"/>
        <v>30250.348999999998</v>
      </c>
      <c r="C15" s="33"/>
      <c r="D15" s="37">
        <f>IF( ISERROR(IND_rest_gas_kWh/1000),0,IND_rest_gas_kWh/1000)*0.902</f>
        <v>4349.6016883443635</v>
      </c>
      <c r="E15" s="33">
        <f>C37*'E Balans VL '!I15/100/3.6*1000000</f>
        <v>1538.9293427598902</v>
      </c>
      <c r="F15" s="33">
        <f>C37*'E Balans VL '!L15/100/3.6*1000000+C37*'E Balans VL '!N15/100/3.6*1000000</f>
        <v>6895.1926827371253</v>
      </c>
      <c r="G15" s="34"/>
      <c r="H15" s="33"/>
      <c r="I15" s="33"/>
      <c r="J15" s="40">
        <f>C37*'E Balans VL '!D15/100/3.6*1000000+C37*'E Balans VL '!E15/100/3.6*1000000</f>
        <v>126.91020758629374</v>
      </c>
      <c r="K15" s="33"/>
      <c r="L15" s="33"/>
      <c r="M15" s="33"/>
      <c r="N15" s="33">
        <f>C37*'E Balans VL '!Y15/100/3.6*1000000</f>
        <v>5683.5529485762308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39522.05603</v>
      </c>
      <c r="C18" s="21">
        <f>C5+C16</f>
        <v>0</v>
      </c>
      <c r="D18" s="21">
        <f>MAX((D5+D16),0)</f>
        <v>12720.736456878916</v>
      </c>
      <c r="E18" s="21">
        <f>MAX((E5+E16),0)</f>
        <v>2003.8018794068716</v>
      </c>
      <c r="F18" s="21">
        <f>MAX((F5+F16),0)</f>
        <v>13632.992032024249</v>
      </c>
      <c r="G18" s="21"/>
      <c r="H18" s="21"/>
      <c r="I18" s="21"/>
      <c r="J18" s="21">
        <f>MAX((J5+J16),0)</f>
        <v>194.24134977681979</v>
      </c>
      <c r="K18" s="21"/>
      <c r="L18" s="21">
        <f>MAX((L5+L16),0)</f>
        <v>0</v>
      </c>
      <c r="M18" s="21"/>
      <c r="N18" s="21">
        <f>MAX((N5+N16),0)</f>
        <v>7741.7297869124668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0.21474292633718411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8487.0819667443538</v>
      </c>
      <c r="C22" s="23">
        <f ca="1">C18*C20</f>
        <v>0</v>
      </c>
      <c r="D22" s="23">
        <f>D18*D20</f>
        <v>2569.5887642895414</v>
      </c>
      <c r="E22" s="23">
        <f>E18*E20</f>
        <v>454.86302662535985</v>
      </c>
      <c r="F22" s="23">
        <f>F18*F20</f>
        <v>3640.0088725504747</v>
      </c>
      <c r="G22" s="23"/>
      <c r="H22" s="23"/>
      <c r="I22" s="23"/>
      <c r="J22" s="23">
        <f>J18*J20</f>
        <v>68.761437820994203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698.14670000000001</v>
      </c>
      <c r="C30" s="39">
        <f>IF(ISERROR(B30*3.6/1000000/'E Balans VL '!Z18*100),0,B30*3.6/1000000/'E Balans VL '!Z18*100)</f>
        <v>9.7717272004195929E-2</v>
      </c>
      <c r="D30" s="237" t="s">
        <v>692</v>
      </c>
    </row>
    <row r="31" spans="1:18">
      <c r="A31" s="6" t="s">
        <v>33</v>
      </c>
      <c r="B31" s="37">
        <f>IF( ISERROR(IND_ander_ele_kWh/1000),0,IND_ander_ele_kWh/1000)</f>
        <v>1464.6369999999999</v>
      </c>
      <c r="C31" s="39">
        <f>IF(ISERROR(B31*3.6/1000000/'E Balans VL '!Z19*100),0,B31*3.6/1000000/'E Balans VL '!Z19*100)</f>
        <v>6.4106923892122025E-2</v>
      </c>
      <c r="D31" s="237" t="s">
        <v>692</v>
      </c>
    </row>
    <row r="32" spans="1:18">
      <c r="A32" s="171" t="s">
        <v>41</v>
      </c>
      <c r="B32" s="37">
        <f>IF( ISERROR(IND_voed_ele_kWh/1000),0,IND_voed_ele_kWh/1000)</f>
        <v>2812.576</v>
      </c>
      <c r="C32" s="39">
        <f>IF(ISERROR(B32*3.6/1000000/'E Balans VL '!Z20*100),0,B32*3.6/1000000/'E Balans VL '!Z20*100)</f>
        <v>0.69630041655809127</v>
      </c>
      <c r="D32" s="237" t="s">
        <v>692</v>
      </c>
    </row>
    <row r="33" spans="1:5">
      <c r="A33" s="171" t="s">
        <v>40</v>
      </c>
      <c r="B33" s="37">
        <f>IF( ISERROR(IND_textiel_ele_kWh/1000),0,IND_textiel_ele_kWh/1000)</f>
        <v>37.48274</v>
      </c>
      <c r="C33" s="39">
        <f>IF(ISERROR(B33*3.6/1000000/'E Balans VL '!Z21*100),0,B33*3.6/1000000/'E Balans VL '!Z21*100)</f>
        <v>4.2236445334518681E-3</v>
      </c>
      <c r="D33" s="237" t="s">
        <v>692</v>
      </c>
    </row>
    <row r="34" spans="1:5">
      <c r="A34" s="171" t="s">
        <v>37</v>
      </c>
      <c r="B34" s="37">
        <f>IF( ISERROR(IND_min_ele_kWh/1000),0,IND_min_ele_kWh/1000)</f>
        <v>11.46208</v>
      </c>
      <c r="C34" s="39">
        <f>IF(ISERROR(B34*3.6/1000000/'E Balans VL '!Z22*100),0,B34*3.6/1000000/'E Balans VL '!Z22*100)</f>
        <v>3.2524706762683975E-4</v>
      </c>
      <c r="D34" s="237" t="s">
        <v>692</v>
      </c>
    </row>
    <row r="35" spans="1:5">
      <c r="A35" s="171" t="s">
        <v>39</v>
      </c>
      <c r="B35" s="37">
        <f>IF( ISERROR(IND_papier_ele_kWh/1000),0,IND_papier_ele_kWh/1000)</f>
        <v>27.214509999999997</v>
      </c>
      <c r="C35" s="39">
        <f>IF(ISERROR(B35*3.6/1000000/'E Balans VL '!Z22*100),0,B35*3.6/1000000/'E Balans VL '!Z22*100)</f>
        <v>7.7223676456640567E-4</v>
      </c>
      <c r="D35" s="237" t="s">
        <v>692</v>
      </c>
    </row>
    <row r="36" spans="1:5">
      <c r="A36" s="171" t="s">
        <v>34</v>
      </c>
      <c r="B36" s="37">
        <f>IF( ISERROR(IND_chemie_ele_kWh/1000),0,IND_chemie_ele_kWh/1000)</f>
        <v>4220.1880000000001</v>
      </c>
      <c r="C36" s="39">
        <f>IF(ISERROR(B36*3.6/1000000/'E Balans VL '!Z24*100),0,B36*3.6/1000000/'E Balans VL '!Z24*100)</f>
        <v>0.10760835257125068</v>
      </c>
      <c r="D36" s="237" t="s">
        <v>692</v>
      </c>
    </row>
    <row r="37" spans="1:5">
      <c r="A37" s="171" t="s">
        <v>270</v>
      </c>
      <c r="B37" s="37">
        <f>IF( ISERROR(IND_rest_ele_kWh/1000),0,IND_rest_ele_kWh/1000)</f>
        <v>30250.348999999998</v>
      </c>
      <c r="C37" s="39">
        <f>IF(ISERROR(B37*3.6/1000000/'E Balans VL '!Z15*100),0,B37*3.6/1000000/'E Balans VL '!Z15*100)</f>
        <v>0.22430115875609097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42.404989999999998</v>
      </c>
      <c r="C5" s="17">
        <f>'Eigen informatie GS &amp; warmtenet'!B60</f>
        <v>0</v>
      </c>
      <c r="D5" s="30">
        <f>IF(ISERROR(SUM(LB_lb_gas_kWh,LB_rest_gas_kWh,onbekend_gas_kWh)/1000),0,SUM(LB_lb_gas_kWh,LB_rest_gas_kWh,onbekend_gas_kWh)/1000)*0.902</f>
        <v>10640.258442260014</v>
      </c>
      <c r="E5" s="17">
        <f>B17*'E Balans VL '!I25/3.6*1000000/100</f>
        <v>0.39277277822242274</v>
      </c>
      <c r="F5" s="17">
        <f>B17*('E Balans VL '!L25/3.6*1000000+'E Balans VL '!N25/3.6*1000000)/100</f>
        <v>107.58953777230505</v>
      </c>
      <c r="G5" s="18"/>
      <c r="H5" s="17"/>
      <c r="I5" s="17"/>
      <c r="J5" s="17">
        <f>('E Balans VL '!D25+'E Balans VL '!E25)/3.6*1000000*landbouw!B17/100</f>
        <v>6.5011582080695982</v>
      </c>
      <c r="K5" s="17"/>
      <c r="L5" s="17">
        <f>L6*(-1)</f>
        <v>0</v>
      </c>
      <c r="M5" s="17"/>
      <c r="N5" s="17">
        <f>N6*(-1)</f>
        <v>0</v>
      </c>
      <c r="O5" s="17"/>
      <c r="P5" s="17"/>
      <c r="R5" s="32"/>
    </row>
    <row r="6" spans="1:18">
      <c r="A6" s="16" t="s">
        <v>494</v>
      </c>
      <c r="B6" s="17" t="s">
        <v>211</v>
      </c>
      <c r="C6" s="17">
        <f>'lokale energieproductie'!O91+'lokale energieproductie'!O60</f>
        <v>25.714285714285715</v>
      </c>
      <c r="D6" s="310">
        <f>('lokale energieproductie'!P60+'lokale energieproductie'!P91)*(-1)</f>
        <v>-51.428571428571431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42.404989999999998</v>
      </c>
      <c r="C8" s="21">
        <f>C5+C6</f>
        <v>25.714285714285715</v>
      </c>
      <c r="D8" s="21">
        <f>MAX((D5+D6),0)</f>
        <v>10588.829870831443</v>
      </c>
      <c r="E8" s="21">
        <f>MAX((E5+E6),0)</f>
        <v>0.39277277822242274</v>
      </c>
      <c r="F8" s="21">
        <f>MAX((F5+F6),0)</f>
        <v>107.58953777230505</v>
      </c>
      <c r="G8" s="21"/>
      <c r="H8" s="21"/>
      <c r="I8" s="21"/>
      <c r="J8" s="21">
        <f>MAX((J5+J6),0)</f>
        <v>6.5011582080695982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0.21474292633718411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9.1061716438990281</v>
      </c>
      <c r="C12" s="23">
        <f ca="1">C8*C10</f>
        <v>6.1109243697478997</v>
      </c>
      <c r="D12" s="23">
        <f>D8*D10</f>
        <v>2138.9436339079516</v>
      </c>
      <c r="E12" s="23">
        <f>E8*E10</f>
        <v>8.9159420656489963E-2</v>
      </c>
      <c r="F12" s="23">
        <f>F8*F10</f>
        <v>28.726406585205449</v>
      </c>
      <c r="G12" s="23"/>
      <c r="H12" s="23"/>
      <c r="I12" s="23"/>
      <c r="J12" s="23">
        <f>J8*J10</f>
        <v>2.3014100056566376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6.0290904367962788E-3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4.006318545280493</v>
      </c>
      <c r="C26" s="247">
        <f>B26*'GWP N2O_CH4'!B5</f>
        <v>84.132689450890354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0.27650070400277438</v>
      </c>
      <c r="C27" s="247">
        <f>B27*'GWP N2O_CH4'!B5</f>
        <v>5.8065147840582618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4.5833422520459605E-2</v>
      </c>
      <c r="C28" s="247">
        <f>B28*'GWP N2O_CH4'!B4</f>
        <v>14.208360981342478</v>
      </c>
      <c r="D28" s="50"/>
    </row>
    <row r="29" spans="1:4">
      <c r="A29" s="41" t="s">
        <v>277</v>
      </c>
      <c r="B29" s="247">
        <f>B34*'ha_N2O bodem landbouw'!B4</f>
        <v>2.7207325176592341</v>
      </c>
      <c r="C29" s="247">
        <f>B29*'GWP N2O_CH4'!B4</f>
        <v>843.42708047436258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6.1021237172177874E-4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1.9993185288499316E-4</v>
      </c>
      <c r="C5" s="464" t="s">
        <v>211</v>
      </c>
      <c r="D5" s="449">
        <f>SUM(D6:D11)</f>
        <v>5.0319805848557083E-4</v>
      </c>
      <c r="E5" s="449">
        <f>SUM(E6:E11)</f>
        <v>3.7874963294357647E-3</v>
      </c>
      <c r="F5" s="462" t="s">
        <v>211</v>
      </c>
      <c r="G5" s="449">
        <f>SUM(G6:G11)</f>
        <v>1.0865703897491918</v>
      </c>
      <c r="H5" s="449">
        <f>SUM(H6:H11)</f>
        <v>0.19663638316221191</v>
      </c>
      <c r="I5" s="464" t="s">
        <v>211</v>
      </c>
      <c r="J5" s="464" t="s">
        <v>211</v>
      </c>
      <c r="K5" s="464" t="s">
        <v>211</v>
      </c>
      <c r="L5" s="464" t="s">
        <v>211</v>
      </c>
      <c r="M5" s="449">
        <f>SUM(M6:M11)</f>
        <v>6.890633510527E-2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4.7170028209929175E-5</v>
      </c>
      <c r="C6" s="450"/>
      <c r="D6" s="963">
        <f>vkm_2011_GW_PW*SUMIFS(TableVerdeelsleutelVkm[CNG],TableVerdeelsleutelVkm[Voertuigtype],"Lichte voertuigen")*SUMIFS(TableECFTransport[EnergieConsumptieFactor (PJ per km)],TableECFTransport[Index],CONCATENATE($A6,"_CNG_CNG"))</f>
        <v>1.0910946845454519E-4</v>
      </c>
      <c r="E6" s="963">
        <f>vkm_2011_GW_PW*SUMIFS(TableVerdeelsleutelVkm[LPG],TableVerdeelsleutelVkm[Voertuigtype],"Lichte voertuigen")*SUMIFS(TableECFTransport[EnergieConsumptieFactor (PJ per km)],TableECFTransport[Index],CONCATENATE($A6,"_LPG_LPG"))</f>
        <v>7.10454969213605E-4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0.14759176371650409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4.1603068116757277E-2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9.8182309990404899E-3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5.2449373630199803E-2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1.7936733256532413E-5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3.0344935610485098E-3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1.4163256146730765E-5</v>
      </c>
      <c r="C8" s="450"/>
      <c r="D8" s="452">
        <f>vkm_2011_NGW_PW*SUMIFS(TableVerdeelsleutelVkm[CNG],TableVerdeelsleutelVkm[Voertuigtype],"Lichte voertuigen")*SUMIFS(TableECFTransport[EnergieConsumptieFactor (PJ per km)],TableECFTransport[Index],CONCATENATE($A8,"_CNG_CNG"))</f>
        <v>5.7944936851233248E-5</v>
      </c>
      <c r="E8" s="452">
        <f>vkm_2011_NGW_PW*SUMIFS(TableVerdeelsleutelVkm[LPG],TableVerdeelsleutelVkm[Voertuigtype],"Lichte voertuigen")*SUMIFS(TableECFTransport[EnergieConsumptieFactor (PJ per km)],TableECFTransport[Index],CONCATENATE($A8,"_LPG_LPG"))</f>
        <v>3.4821089540642658E-4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6.7622044343654722E-2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2.1363538647099355E-2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4.5692905068823843E-3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5.8233148988488317E-3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1.8843568673081735E-6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3.3690847749409566E-4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1.3859856852833322E-4</v>
      </c>
      <c r="C10" s="450"/>
      <c r="D10" s="452">
        <f>vkm_2011_SW_PW*SUMIFS(TableVerdeelsleutelVkm[CNG],TableVerdeelsleutelVkm[Voertuigtype],"Lichte voertuigen")*SUMIFS(TableECFTransport[EnergieConsumptieFactor (PJ per km)],TableECFTransport[Index],CONCATENATE($A10,"_CNG_CNG"))</f>
        <v>3.3614365317979233E-4</v>
      </c>
      <c r="E10" s="452">
        <f>vkm_2011_SW_PW*SUMIFS(TableVerdeelsleutelVkm[LPG],TableVerdeelsleutelVkm[Voertuigtype],"Lichte voertuigen")*SUMIFS(TableECFTransport[EnergieConsumptieFactor (PJ per km)],TableECFTransport[Index],CONCATENATE($A10,"_LPG_LPG"))</f>
        <v>2.728830464815733E-3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0.51036964842408039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0.13353838626124875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3.3633428933354623E-2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0.30271424473590397</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1.1156904698271447E-4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1.7513982627449892E-2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55.53662580138699</v>
      </c>
      <c r="C14" s="21"/>
      <c r="D14" s="21">
        <f t="shared" ref="D14:M14" si="0">((D5)*10^9/3600)+D12</f>
        <v>139.77723846821411</v>
      </c>
      <c r="E14" s="21">
        <f t="shared" si="0"/>
        <v>1052.082313732157</v>
      </c>
      <c r="F14" s="21"/>
      <c r="G14" s="21">
        <f t="shared" si="0"/>
        <v>301825.10826366436</v>
      </c>
      <c r="H14" s="21">
        <f t="shared" si="0"/>
        <v>54621.217545058862</v>
      </c>
      <c r="I14" s="21"/>
      <c r="J14" s="21"/>
      <c r="K14" s="21"/>
      <c r="L14" s="21"/>
      <c r="M14" s="21">
        <f t="shared" si="0"/>
        <v>19140.648640352778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0.21474292633718411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11.926097543483005</v>
      </c>
      <c r="C18" s="23"/>
      <c r="D18" s="23">
        <f t="shared" ref="D18:M18" si="1">D14*D16</f>
        <v>28.23500217057925</v>
      </c>
      <c r="E18" s="23">
        <f t="shared" si="1"/>
        <v>238.82268521719965</v>
      </c>
      <c r="F18" s="23"/>
      <c r="G18" s="23">
        <f t="shared" si="1"/>
        <v>80587.303906398389</v>
      </c>
      <c r="H18" s="23">
        <f t="shared" si="1"/>
        <v>13600.683168719657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1.631276187039216E-2</v>
      </c>
      <c r="H50" s="321">
        <f t="shared" si="2"/>
        <v>0</v>
      </c>
      <c r="I50" s="321">
        <f t="shared" si="2"/>
        <v>0</v>
      </c>
      <c r="J50" s="321">
        <f t="shared" si="2"/>
        <v>0</v>
      </c>
      <c r="K50" s="321">
        <f t="shared" si="2"/>
        <v>0</v>
      </c>
      <c r="L50" s="321">
        <f t="shared" si="2"/>
        <v>0</v>
      </c>
      <c r="M50" s="321">
        <f t="shared" si="2"/>
        <v>9.3026925519874284E-4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1.631276187039216E-2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9.3026925519874284E-4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4531.3227417755998</v>
      </c>
      <c r="H54" s="21">
        <f t="shared" si="3"/>
        <v>0</v>
      </c>
      <c r="I54" s="21">
        <f t="shared" si="3"/>
        <v>0</v>
      </c>
      <c r="J54" s="21">
        <f t="shared" si="3"/>
        <v>0</v>
      </c>
      <c r="K54" s="21">
        <f t="shared" si="3"/>
        <v>0</v>
      </c>
      <c r="L54" s="21">
        <f t="shared" si="3"/>
        <v>0</v>
      </c>
      <c r="M54" s="21">
        <f t="shared" si="3"/>
        <v>258.40812644409522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0.21474292633718411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1209.8631720540852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5344.4426725821322</v>
      </c>
      <c r="C6" s="1216"/>
      <c r="D6" s="1201"/>
      <c r="E6" s="1201"/>
      <c r="F6" s="1219"/>
      <c r="G6" s="1222"/>
      <c r="H6" s="1213"/>
      <c r="I6" s="1201"/>
      <c r="J6" s="1201"/>
      <c r="K6" s="1201"/>
      <c r="L6" s="1205"/>
      <c r="M6" s="576"/>
      <c r="N6" s="1179"/>
      <c r="O6" s="1180"/>
      <c r="Q6" s="574"/>
      <c r="R6" s="1167"/>
      <c r="S6" s="1167"/>
    </row>
    <row r="7" spans="1:19" s="564" customFormat="1">
      <c r="A7" s="577" t="s">
        <v>252</v>
      </c>
      <c r="B7" s="578">
        <f>N57</f>
        <v>1368</v>
      </c>
      <c r="C7" s="579">
        <f>B100</f>
        <v>1609.4117647058822</v>
      </c>
      <c r="D7" s="580"/>
      <c r="E7" s="580">
        <f>E100</f>
        <v>0</v>
      </c>
      <c r="F7" s="581"/>
      <c r="G7" s="582"/>
      <c r="H7" s="580">
        <f>I100</f>
        <v>0</v>
      </c>
      <c r="I7" s="580">
        <f>G100+F100</f>
        <v>0</v>
      </c>
      <c r="J7" s="580">
        <f>H100+D100+C100</f>
        <v>0</v>
      </c>
      <c r="K7" s="580"/>
      <c r="L7" s="583"/>
      <c r="M7" s="584">
        <f>C7*$C$11+D7*$D$11+E7*$E$11+F7*$F$11+G7*$G$11+H7*$H$11+I7*$I$11+J7*$J$11</f>
        <v>325.1011764705882</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6712.4426725821322</v>
      </c>
      <c r="C9" s="595">
        <f t="shared" ref="C9:L9" si="0">SUM(C7:C8)</f>
        <v>1609.4117647058822</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325.1011764705882</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1954.2857142857144</v>
      </c>
      <c r="C16" s="611">
        <f>B101</f>
        <v>2299.1596638655465</v>
      </c>
      <c r="D16" s="612"/>
      <c r="E16" s="612">
        <f>E101</f>
        <v>0</v>
      </c>
      <c r="F16" s="613"/>
      <c r="G16" s="614"/>
      <c r="H16" s="611">
        <f>I101</f>
        <v>0</v>
      </c>
      <c r="I16" s="612">
        <f>G101+F101</f>
        <v>0</v>
      </c>
      <c r="J16" s="612">
        <f>H101+D101+C101</f>
        <v>0</v>
      </c>
      <c r="K16" s="612"/>
      <c r="L16" s="615"/>
      <c r="M16" s="616">
        <f>C16*$C$21+E16*$E$21+H16*$H$21+I16*$I$21+J16*$J$21+D16*$D$21+F16*$F$21+G16*$G$21+K16*$K$21+L16*$L$21</f>
        <v>464.43025210084039</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1954.2857142857144</v>
      </c>
      <c r="C19" s="594">
        <f>SUM(C16:C18)</f>
        <v>2299.1596638655465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464.43025210084039</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23088</v>
      </c>
      <c r="C27" s="852">
        <v>1800</v>
      </c>
      <c r="D27" s="673" t="s">
        <v>834</v>
      </c>
      <c r="E27" s="672" t="s">
        <v>835</v>
      </c>
      <c r="F27" s="672" t="s">
        <v>836</v>
      </c>
      <c r="G27" s="672" t="s">
        <v>837</v>
      </c>
      <c r="H27" s="672" t="s">
        <v>838</v>
      </c>
      <c r="I27" s="672" t="s">
        <v>839</v>
      </c>
      <c r="J27" s="851">
        <v>38307</v>
      </c>
      <c r="K27" s="851">
        <v>38473</v>
      </c>
      <c r="L27" s="672" t="s">
        <v>840</v>
      </c>
      <c r="M27" s="672">
        <v>300</v>
      </c>
      <c r="N27" s="672">
        <v>1350</v>
      </c>
      <c r="O27" s="672">
        <v>1928.5714285714287</v>
      </c>
      <c r="P27" s="672">
        <v>3857.1428571428573</v>
      </c>
      <c r="Q27" s="672">
        <v>0</v>
      </c>
      <c r="R27" s="672">
        <v>0</v>
      </c>
      <c r="S27" s="672">
        <v>0</v>
      </c>
      <c r="T27" s="672">
        <v>0</v>
      </c>
      <c r="U27" s="672">
        <v>0</v>
      </c>
      <c r="V27" s="672">
        <v>0</v>
      </c>
      <c r="W27" s="672">
        <v>0</v>
      </c>
      <c r="X27" s="672">
        <v>1300</v>
      </c>
      <c r="Y27" s="672" t="s">
        <v>54</v>
      </c>
      <c r="Z27" s="674" t="s">
        <v>156</v>
      </c>
    </row>
    <row r="28" spans="1:26" s="626" customFormat="1" ht="25.5">
      <c r="A28" s="625"/>
      <c r="B28" s="852">
        <v>23088</v>
      </c>
      <c r="C28" s="852">
        <v>1800</v>
      </c>
      <c r="D28" s="673" t="s">
        <v>841</v>
      </c>
      <c r="E28" s="672" t="s">
        <v>842</v>
      </c>
      <c r="F28" s="672" t="s">
        <v>843</v>
      </c>
      <c r="G28" s="672" t="s">
        <v>837</v>
      </c>
      <c r="H28" s="672" t="s">
        <v>838</v>
      </c>
      <c r="I28" s="672" t="s">
        <v>842</v>
      </c>
      <c r="J28" s="851">
        <v>41262</v>
      </c>
      <c r="K28" s="851">
        <v>41262</v>
      </c>
      <c r="L28" s="672" t="s">
        <v>840</v>
      </c>
      <c r="M28" s="672">
        <v>4</v>
      </c>
      <c r="N28" s="672">
        <v>18</v>
      </c>
      <c r="O28" s="672">
        <v>25.714285714285715</v>
      </c>
      <c r="P28" s="672">
        <v>51.428571428571431</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304</v>
      </c>
      <c r="N57" s="630">
        <f>SUM(N27:N56)</f>
        <v>1368</v>
      </c>
      <c r="O57" s="630">
        <f t="shared" ref="O57:W57" si="2">SUM(O27:O56)</f>
        <v>1954.2857142857144</v>
      </c>
      <c r="P57" s="630">
        <f t="shared" si="2"/>
        <v>3908.5714285714289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300</v>
      </c>
      <c r="N59" s="630">
        <f ca="1">SUMIF($Z$27:AB56,"tertiair",N27:N56)</f>
        <v>1350</v>
      </c>
      <c r="O59" s="630">
        <f ca="1">SUMIF($Z$27:AC56,"tertiair",O27:O56)</f>
        <v>1928.5714285714287</v>
      </c>
      <c r="P59" s="630">
        <f ca="1">SUMIF($Z$27:AD56,"tertiair",P27:P56)</f>
        <v>3857.1428571428573</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4</v>
      </c>
      <c r="N60" s="635">
        <f t="shared" ref="N60:W60" si="4">SUMIF($Z$27:$Z$56,"landbouw",N27:N56)</f>
        <v>18</v>
      </c>
      <c r="O60" s="635">
        <f t="shared" si="4"/>
        <v>25.714285714285715</v>
      </c>
      <c r="P60" s="635">
        <f t="shared" si="4"/>
        <v>51.428571428571431</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0.41176470588235287</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1609.4117647058822</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2299.1596638655465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89503.881999999998</v>
      </c>
      <c r="D10" s="719">
        <f ca="1">tertiair!C16</f>
        <v>1928.5714285714287</v>
      </c>
      <c r="E10" s="719">
        <f ca="1">tertiair!D16</f>
        <v>96196.246563932553</v>
      </c>
      <c r="F10" s="719">
        <f>tertiair!E16</f>
        <v>1019.1289171846679</v>
      </c>
      <c r="G10" s="719">
        <f ca="1">tertiair!F16</f>
        <v>12537.719474919668</v>
      </c>
      <c r="H10" s="719">
        <f>tertiair!G16</f>
        <v>0</v>
      </c>
      <c r="I10" s="719">
        <f>tertiair!H16</f>
        <v>0</v>
      </c>
      <c r="J10" s="719">
        <f>tertiair!I16</f>
        <v>0</v>
      </c>
      <c r="K10" s="719">
        <f>tertiair!J16</f>
        <v>0</v>
      </c>
      <c r="L10" s="719">
        <f>tertiair!K16</f>
        <v>0</v>
      </c>
      <c r="M10" s="719">
        <f ca="1">tertiair!L16</f>
        <v>0</v>
      </c>
      <c r="N10" s="719">
        <f>tertiair!M16</f>
        <v>0</v>
      </c>
      <c r="O10" s="719">
        <f ca="1">tertiair!N16</f>
        <v>4292.7746234281203</v>
      </c>
      <c r="P10" s="719">
        <f>tertiair!O16</f>
        <v>0</v>
      </c>
      <c r="Q10" s="720">
        <f>tertiair!P16</f>
        <v>76.266666666666666</v>
      </c>
      <c r="R10" s="722">
        <f ca="1">SUM(C10:Q10)</f>
        <v>205554.58967470308</v>
      </c>
      <c r="S10" s="67"/>
    </row>
    <row r="11" spans="1:19" s="475" customFormat="1">
      <c r="A11" s="871" t="s">
        <v>225</v>
      </c>
      <c r="B11" s="876"/>
      <c r="C11" s="719">
        <f>huishoudens!B8</f>
        <v>56002.381701227183</v>
      </c>
      <c r="D11" s="719">
        <f>huishoudens!C8</f>
        <v>0</v>
      </c>
      <c r="E11" s="719">
        <f>huishoudens!D8</f>
        <v>165493.99124240488</v>
      </c>
      <c r="F11" s="719">
        <f>huishoudens!E8</f>
        <v>1462.8572720392319</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7441.8167968036178</v>
      </c>
      <c r="P11" s="719">
        <f>huishoudens!O8</f>
        <v>106.30666666666667</v>
      </c>
      <c r="Q11" s="720">
        <f>huishoudens!P8</f>
        <v>171.6</v>
      </c>
      <c r="R11" s="722">
        <f>SUM(C11:Q11)</f>
        <v>230678.95367914159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39522.05603</v>
      </c>
      <c r="D13" s="719">
        <f>industrie!C18</f>
        <v>0</v>
      </c>
      <c r="E13" s="719">
        <f>industrie!D18</f>
        <v>12720.736456878916</v>
      </c>
      <c r="F13" s="719">
        <f>industrie!E18</f>
        <v>2003.8018794068716</v>
      </c>
      <c r="G13" s="719">
        <f>industrie!F18</f>
        <v>13632.992032024249</v>
      </c>
      <c r="H13" s="719">
        <f>industrie!G18</f>
        <v>0</v>
      </c>
      <c r="I13" s="719">
        <f>industrie!H18</f>
        <v>0</v>
      </c>
      <c r="J13" s="719">
        <f>industrie!I18</f>
        <v>0</v>
      </c>
      <c r="K13" s="719">
        <f>industrie!J18</f>
        <v>194.24134977681979</v>
      </c>
      <c r="L13" s="719">
        <f>industrie!K18</f>
        <v>0</v>
      </c>
      <c r="M13" s="719">
        <f>industrie!L18</f>
        <v>0</v>
      </c>
      <c r="N13" s="719">
        <f>industrie!M18</f>
        <v>0</v>
      </c>
      <c r="O13" s="719">
        <f>industrie!N18</f>
        <v>7741.7297869124668</v>
      </c>
      <c r="P13" s="719">
        <f>industrie!O18</f>
        <v>0</v>
      </c>
      <c r="Q13" s="720">
        <f>industrie!P18</f>
        <v>0</v>
      </c>
      <c r="R13" s="722">
        <f>SUM(C13:Q13)</f>
        <v>75815.557534999301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185028.31973122718</v>
      </c>
      <c r="D15" s="724">
        <f t="shared" ref="D15:Q15" ca="1" si="0">SUM(D9:D14)</f>
        <v>1928.5714285714287</v>
      </c>
      <c r="E15" s="724">
        <f t="shared" ca="1" si="0"/>
        <v>274410.97426321631</v>
      </c>
      <c r="F15" s="724">
        <f t="shared" si="0"/>
        <v>4485.7880686307708</v>
      </c>
      <c r="G15" s="724">
        <f t="shared" ca="1" si="0"/>
        <v>26170.711506943917</v>
      </c>
      <c r="H15" s="724">
        <f t="shared" si="0"/>
        <v>0</v>
      </c>
      <c r="I15" s="724">
        <f t="shared" si="0"/>
        <v>0</v>
      </c>
      <c r="J15" s="724">
        <f t="shared" si="0"/>
        <v>0</v>
      </c>
      <c r="K15" s="724">
        <f t="shared" si="0"/>
        <v>194.24134977681979</v>
      </c>
      <c r="L15" s="724">
        <f t="shared" si="0"/>
        <v>0</v>
      </c>
      <c r="M15" s="724">
        <f t="shared" ca="1" si="0"/>
        <v>0</v>
      </c>
      <c r="N15" s="724">
        <f t="shared" si="0"/>
        <v>0</v>
      </c>
      <c r="O15" s="724">
        <f t="shared" ca="1" si="0"/>
        <v>19476.321207144203</v>
      </c>
      <c r="P15" s="724">
        <f t="shared" si="0"/>
        <v>106.30666666666667</v>
      </c>
      <c r="Q15" s="725">
        <f t="shared" si="0"/>
        <v>247.86666666666667</v>
      </c>
      <c r="R15" s="726">
        <f ca="1">SUM(R9:R14)</f>
        <v>512049.100888844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4531.3227417755998</v>
      </c>
      <c r="I18" s="719">
        <f>transport!H54</f>
        <v>0</v>
      </c>
      <c r="J18" s="719">
        <f>transport!I54</f>
        <v>0</v>
      </c>
      <c r="K18" s="719">
        <f>transport!J54</f>
        <v>0</v>
      </c>
      <c r="L18" s="719">
        <f>transport!K54</f>
        <v>0</v>
      </c>
      <c r="M18" s="719">
        <f>transport!L54</f>
        <v>0</v>
      </c>
      <c r="N18" s="719">
        <f>transport!M54</f>
        <v>258.40812644409522</v>
      </c>
      <c r="O18" s="719">
        <f>transport!N54</f>
        <v>0</v>
      </c>
      <c r="P18" s="719">
        <f>transport!O54</f>
        <v>0</v>
      </c>
      <c r="Q18" s="720">
        <f>transport!P54</f>
        <v>0</v>
      </c>
      <c r="R18" s="722">
        <f>SUM(C18:Q18)</f>
        <v>4789.7308682196954</v>
      </c>
      <c r="S18" s="67"/>
    </row>
    <row r="19" spans="1:19" s="475" customFormat="1" ht="15" thickBot="1">
      <c r="A19" s="871" t="s">
        <v>307</v>
      </c>
      <c r="B19" s="876"/>
      <c r="C19" s="728">
        <f>transport!B14</f>
        <v>55.53662580138699</v>
      </c>
      <c r="D19" s="728">
        <f>transport!C14</f>
        <v>0</v>
      </c>
      <c r="E19" s="728">
        <f>transport!D14</f>
        <v>139.77723846821411</v>
      </c>
      <c r="F19" s="728">
        <f>transport!E14</f>
        <v>1052.082313732157</v>
      </c>
      <c r="G19" s="728">
        <f>transport!F14</f>
        <v>0</v>
      </c>
      <c r="H19" s="728">
        <f>transport!G14</f>
        <v>301825.10826366436</v>
      </c>
      <c r="I19" s="728">
        <f>transport!H14</f>
        <v>54621.217545058862</v>
      </c>
      <c r="J19" s="728">
        <f>transport!I14</f>
        <v>0</v>
      </c>
      <c r="K19" s="728">
        <f>transport!J14</f>
        <v>0</v>
      </c>
      <c r="L19" s="728">
        <f>transport!K14</f>
        <v>0</v>
      </c>
      <c r="M19" s="728">
        <f>transport!L14</f>
        <v>0</v>
      </c>
      <c r="N19" s="728">
        <f>transport!M14</f>
        <v>19140.648640352778</v>
      </c>
      <c r="O19" s="728">
        <f>transport!N14</f>
        <v>0</v>
      </c>
      <c r="P19" s="728">
        <f>transport!O14</f>
        <v>0</v>
      </c>
      <c r="Q19" s="729">
        <f>transport!P14</f>
        <v>0</v>
      </c>
      <c r="R19" s="730">
        <f>SUM(C19:Q19)</f>
        <v>376834.37062707776</v>
      </c>
      <c r="S19" s="67"/>
    </row>
    <row r="20" spans="1:19" s="475" customFormat="1" ht="15.75" thickBot="1">
      <c r="A20" s="731" t="s">
        <v>230</v>
      </c>
      <c r="B20" s="879"/>
      <c r="C20" s="874">
        <f>SUM(C17:C19)</f>
        <v>55.53662580138699</v>
      </c>
      <c r="D20" s="732">
        <f t="shared" ref="D20:R20" si="1">SUM(D17:D19)</f>
        <v>0</v>
      </c>
      <c r="E20" s="732">
        <f t="shared" si="1"/>
        <v>139.77723846821411</v>
      </c>
      <c r="F20" s="732">
        <f t="shared" si="1"/>
        <v>1052.082313732157</v>
      </c>
      <c r="G20" s="732">
        <f t="shared" si="1"/>
        <v>0</v>
      </c>
      <c r="H20" s="732">
        <f t="shared" si="1"/>
        <v>306356.43100543995</v>
      </c>
      <c r="I20" s="732">
        <f t="shared" si="1"/>
        <v>54621.217545058862</v>
      </c>
      <c r="J20" s="732">
        <f t="shared" si="1"/>
        <v>0</v>
      </c>
      <c r="K20" s="732">
        <f t="shared" si="1"/>
        <v>0</v>
      </c>
      <c r="L20" s="732">
        <f t="shared" si="1"/>
        <v>0</v>
      </c>
      <c r="M20" s="732">
        <f t="shared" si="1"/>
        <v>0</v>
      </c>
      <c r="N20" s="732">
        <f t="shared" si="1"/>
        <v>19399.056766796872</v>
      </c>
      <c r="O20" s="732">
        <f t="shared" si="1"/>
        <v>0</v>
      </c>
      <c r="P20" s="732">
        <f t="shared" si="1"/>
        <v>0</v>
      </c>
      <c r="Q20" s="733">
        <f t="shared" si="1"/>
        <v>0</v>
      </c>
      <c r="R20" s="734">
        <f t="shared" si="1"/>
        <v>381624.10149529745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42.404989999999998</v>
      </c>
      <c r="D22" s="728">
        <f>+landbouw!C8</f>
        <v>25.714285714285715</v>
      </c>
      <c r="E22" s="728">
        <f>+landbouw!D8</f>
        <v>10588.829870831443</v>
      </c>
      <c r="F22" s="728">
        <f>+landbouw!E8</f>
        <v>0.39277277822242274</v>
      </c>
      <c r="G22" s="728">
        <f>+landbouw!F8</f>
        <v>107.58953777230505</v>
      </c>
      <c r="H22" s="728">
        <f>+landbouw!G8</f>
        <v>0</v>
      </c>
      <c r="I22" s="728">
        <f>+landbouw!H8</f>
        <v>0</v>
      </c>
      <c r="J22" s="728">
        <f>+landbouw!I8</f>
        <v>0</v>
      </c>
      <c r="K22" s="728">
        <f>+landbouw!J8</f>
        <v>6.5011582080695982</v>
      </c>
      <c r="L22" s="728">
        <f>+landbouw!K8</f>
        <v>0</v>
      </c>
      <c r="M22" s="728">
        <f>+landbouw!L8</f>
        <v>0</v>
      </c>
      <c r="N22" s="728">
        <f>+landbouw!M8</f>
        <v>0</v>
      </c>
      <c r="O22" s="728">
        <f>+landbouw!N8</f>
        <v>0</v>
      </c>
      <c r="P22" s="728">
        <f>+landbouw!O8</f>
        <v>0</v>
      </c>
      <c r="Q22" s="729">
        <f>+landbouw!P8</f>
        <v>0</v>
      </c>
      <c r="R22" s="730">
        <f>SUM(C22:Q22)</f>
        <v>10771.432615304326</v>
      </c>
      <c r="S22" s="67"/>
    </row>
    <row r="23" spans="1:19" s="475" customFormat="1" ht="17.25" thickTop="1" thickBot="1">
      <c r="A23" s="735" t="s">
        <v>116</v>
      </c>
      <c r="B23" s="865"/>
      <c r="C23" s="736">
        <f ca="1">C20+C15+C22</f>
        <v>185126.26134702857</v>
      </c>
      <c r="D23" s="736">
        <f t="shared" ref="D23:Q23" ca="1" si="2">D20+D15+D22</f>
        <v>1954.2857142857144</v>
      </c>
      <c r="E23" s="736">
        <f t="shared" ca="1" si="2"/>
        <v>285139.581372516</v>
      </c>
      <c r="F23" s="736">
        <f t="shared" si="2"/>
        <v>5538.2631551411496</v>
      </c>
      <c r="G23" s="736">
        <f t="shared" ca="1" si="2"/>
        <v>26278.301044716223</v>
      </c>
      <c r="H23" s="736">
        <f t="shared" si="2"/>
        <v>306356.43100543995</v>
      </c>
      <c r="I23" s="736">
        <f t="shared" si="2"/>
        <v>54621.217545058862</v>
      </c>
      <c r="J23" s="736">
        <f t="shared" si="2"/>
        <v>0</v>
      </c>
      <c r="K23" s="736">
        <f t="shared" si="2"/>
        <v>200.74250798488939</v>
      </c>
      <c r="L23" s="736">
        <f t="shared" si="2"/>
        <v>0</v>
      </c>
      <c r="M23" s="736">
        <f t="shared" ca="1" si="2"/>
        <v>0</v>
      </c>
      <c r="N23" s="736">
        <f t="shared" si="2"/>
        <v>19399.056766796872</v>
      </c>
      <c r="O23" s="736">
        <f t="shared" ca="1" si="2"/>
        <v>19476.321207144203</v>
      </c>
      <c r="P23" s="736">
        <f t="shared" si="2"/>
        <v>106.30666666666667</v>
      </c>
      <c r="Q23" s="737">
        <f t="shared" si="2"/>
        <v>247.86666666666667</v>
      </c>
      <c r="R23" s="738">
        <f ca="1">R20+R15+R22</f>
        <v>904444.63499944587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19220.325539218014</v>
      </c>
      <c r="D36" s="719">
        <f ca="1">tertiair!C20</f>
        <v>458.31932773109253</v>
      </c>
      <c r="E36" s="719">
        <f ca="1">tertiair!D20</f>
        <v>19431.641805914376</v>
      </c>
      <c r="F36" s="719">
        <f>tertiair!E20</f>
        <v>231.34226420091963</v>
      </c>
      <c r="G36" s="719">
        <f ca="1">tertiair!F20</f>
        <v>3347.5710998035515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42689.200036867951</v>
      </c>
    </row>
    <row r="37" spans="1:18">
      <c r="A37" s="886" t="s">
        <v>225</v>
      </c>
      <c r="B37" s="893"/>
      <c r="C37" s="719">
        <f ca="1">huishoudens!B12</f>
        <v>12026.115328373497</v>
      </c>
      <c r="D37" s="719">
        <f ca="1">huishoudens!C12</f>
        <v>0</v>
      </c>
      <c r="E37" s="719">
        <f>huishoudens!D12</f>
        <v>33429.786230965787</v>
      </c>
      <c r="F37" s="719">
        <f>huishoudens!E12</f>
        <v>332.06860075290564</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45787.970160092191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8487.0819667443538</v>
      </c>
      <c r="D39" s="719">
        <f ca="1">industrie!C22</f>
        <v>0</v>
      </c>
      <c r="E39" s="719">
        <f>industrie!D22</f>
        <v>2569.5887642895414</v>
      </c>
      <c r="F39" s="719">
        <f>industrie!E22</f>
        <v>454.86302662535985</v>
      </c>
      <c r="G39" s="719">
        <f>industrie!F22</f>
        <v>3640.0088725504747</v>
      </c>
      <c r="H39" s="719">
        <f>industrie!G22</f>
        <v>0</v>
      </c>
      <c r="I39" s="719">
        <f>industrie!H22</f>
        <v>0</v>
      </c>
      <c r="J39" s="719">
        <f>industrie!I22</f>
        <v>0</v>
      </c>
      <c r="K39" s="719">
        <f>industrie!J22</f>
        <v>68.761437820994203</v>
      </c>
      <c r="L39" s="719">
        <f>industrie!K22</f>
        <v>0</v>
      </c>
      <c r="M39" s="719">
        <f>industrie!L22</f>
        <v>0</v>
      </c>
      <c r="N39" s="719">
        <f>industrie!M22</f>
        <v>0</v>
      </c>
      <c r="O39" s="719">
        <f>industrie!N22</f>
        <v>0</v>
      </c>
      <c r="P39" s="719">
        <f>industrie!O22</f>
        <v>0</v>
      </c>
      <c r="Q39" s="829">
        <f>industrie!P22</f>
        <v>0</v>
      </c>
      <c r="R39" s="919">
        <f ca="1">SUM(C39:Q39)</f>
        <v>15220.304068030724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39733.522834335861</v>
      </c>
      <c r="D41" s="764">
        <f t="shared" ref="D41:R41" ca="1" si="4">SUM(D35:D40)</f>
        <v>458.31932773109253</v>
      </c>
      <c r="E41" s="764">
        <f t="shared" ca="1" si="4"/>
        <v>55431.016801169702</v>
      </c>
      <c r="F41" s="764">
        <f t="shared" si="4"/>
        <v>1018.2738915791851</v>
      </c>
      <c r="G41" s="764">
        <f t="shared" ca="1" si="4"/>
        <v>6987.5799723540258</v>
      </c>
      <c r="H41" s="764">
        <f t="shared" si="4"/>
        <v>0</v>
      </c>
      <c r="I41" s="764">
        <f t="shared" si="4"/>
        <v>0</v>
      </c>
      <c r="J41" s="764">
        <f t="shared" si="4"/>
        <v>0</v>
      </c>
      <c r="K41" s="764">
        <f t="shared" si="4"/>
        <v>68.761437820994203</v>
      </c>
      <c r="L41" s="764">
        <f t="shared" si="4"/>
        <v>0</v>
      </c>
      <c r="M41" s="764">
        <f t="shared" ca="1" si="4"/>
        <v>0</v>
      </c>
      <c r="N41" s="764">
        <f t="shared" si="4"/>
        <v>0</v>
      </c>
      <c r="O41" s="764">
        <f t="shared" ca="1" si="4"/>
        <v>0</v>
      </c>
      <c r="P41" s="764">
        <f t="shared" si="4"/>
        <v>0</v>
      </c>
      <c r="Q41" s="765">
        <f t="shared" si="4"/>
        <v>0</v>
      </c>
      <c r="R41" s="766">
        <f t="shared" ca="1" si="4"/>
        <v>103697.47426499086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1209.8631720540852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1209.8631720540852</v>
      </c>
    </row>
    <row r="45" spans="1:18" ht="15" thickBot="1">
      <c r="A45" s="889" t="s">
        <v>307</v>
      </c>
      <c r="B45" s="899"/>
      <c r="C45" s="728">
        <f ca="1">transport!B18</f>
        <v>11.926097543483005</v>
      </c>
      <c r="D45" s="728">
        <f>transport!C18</f>
        <v>0</v>
      </c>
      <c r="E45" s="728">
        <f>transport!D18</f>
        <v>28.23500217057925</v>
      </c>
      <c r="F45" s="728">
        <f>transport!E18</f>
        <v>238.82268521719965</v>
      </c>
      <c r="G45" s="728">
        <f>transport!F18</f>
        <v>0</v>
      </c>
      <c r="H45" s="728">
        <f>transport!G18</f>
        <v>80587.303906398389</v>
      </c>
      <c r="I45" s="728">
        <f>transport!H18</f>
        <v>13600.683168719657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94466.970860049303</v>
      </c>
    </row>
    <row r="46" spans="1:18" ht="15.75" thickBot="1">
      <c r="A46" s="887" t="s">
        <v>230</v>
      </c>
      <c r="B46" s="900"/>
      <c r="C46" s="764">
        <f t="shared" ref="C46:R46" ca="1" si="5">SUM(C43:C45)</f>
        <v>11.926097543483005</v>
      </c>
      <c r="D46" s="764">
        <f t="shared" ca="1" si="5"/>
        <v>0</v>
      </c>
      <c r="E46" s="764">
        <f t="shared" si="5"/>
        <v>28.23500217057925</v>
      </c>
      <c r="F46" s="764">
        <f t="shared" si="5"/>
        <v>238.82268521719965</v>
      </c>
      <c r="G46" s="764">
        <f t="shared" si="5"/>
        <v>0</v>
      </c>
      <c r="H46" s="764">
        <f t="shared" si="5"/>
        <v>81797.167078452476</v>
      </c>
      <c r="I46" s="764">
        <f t="shared" si="5"/>
        <v>13600.683168719657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95676.83403210339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9.1061716438990281</v>
      </c>
      <c r="D48" s="719">
        <f ca="1">+landbouw!C12</f>
        <v>6.1109243697478997</v>
      </c>
      <c r="E48" s="719">
        <f>+landbouw!D12</f>
        <v>2138.9436339079516</v>
      </c>
      <c r="F48" s="719">
        <f>+landbouw!E12</f>
        <v>8.9159420656489963E-2</v>
      </c>
      <c r="G48" s="719">
        <f>+landbouw!F12</f>
        <v>28.726406585205449</v>
      </c>
      <c r="H48" s="719">
        <f>+landbouw!G12</f>
        <v>0</v>
      </c>
      <c r="I48" s="719">
        <f>+landbouw!H12</f>
        <v>0</v>
      </c>
      <c r="J48" s="719">
        <f>+landbouw!I12</f>
        <v>0</v>
      </c>
      <c r="K48" s="719">
        <f>+landbouw!J12</f>
        <v>2.3014100056566376</v>
      </c>
      <c r="L48" s="719">
        <f>+landbouw!K12</f>
        <v>0</v>
      </c>
      <c r="M48" s="719">
        <f>+landbouw!L12</f>
        <v>0</v>
      </c>
      <c r="N48" s="719">
        <f>+landbouw!M12</f>
        <v>0</v>
      </c>
      <c r="O48" s="719">
        <f>+landbouw!N12</f>
        <v>0</v>
      </c>
      <c r="P48" s="719">
        <f>+landbouw!O12</f>
        <v>0</v>
      </c>
      <c r="Q48" s="720">
        <f>+landbouw!P12</f>
        <v>0</v>
      </c>
      <c r="R48" s="762">
        <f ca="1">SUM(C48:Q48)</f>
        <v>2185.277705933117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39754.555103523242</v>
      </c>
      <c r="D53" s="774">
        <f t="shared" ref="D53:Q53" ca="1" si="6">D41+D46+D48</f>
        <v>464.43025210084045</v>
      </c>
      <c r="E53" s="774">
        <f t="shared" ca="1" si="6"/>
        <v>57598.195437248236</v>
      </c>
      <c r="F53" s="774">
        <f t="shared" si="6"/>
        <v>1257.1857362170413</v>
      </c>
      <c r="G53" s="774">
        <f t="shared" ca="1" si="6"/>
        <v>7016.3063789392309</v>
      </c>
      <c r="H53" s="774">
        <f t="shared" si="6"/>
        <v>81797.167078452476</v>
      </c>
      <c r="I53" s="774">
        <f t="shared" si="6"/>
        <v>13600.683168719657</v>
      </c>
      <c r="J53" s="774">
        <f t="shared" si="6"/>
        <v>0</v>
      </c>
      <c r="K53" s="774">
        <f t="shared" si="6"/>
        <v>71.062847826650838</v>
      </c>
      <c r="L53" s="774">
        <f t="shared" si="6"/>
        <v>0</v>
      </c>
      <c r="M53" s="774">
        <f t="shared" ca="1" si="6"/>
        <v>0</v>
      </c>
      <c r="N53" s="774">
        <f t="shared" si="6"/>
        <v>0</v>
      </c>
      <c r="O53" s="774">
        <f t="shared" ca="1" si="6"/>
        <v>0</v>
      </c>
      <c r="P53" s="774">
        <f>P41+P46+P48</f>
        <v>0</v>
      </c>
      <c r="Q53" s="775">
        <f t="shared" si="6"/>
        <v>0</v>
      </c>
      <c r="R53" s="776">
        <f ca="1">R41+R46+R48</f>
        <v>201559.58600302736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0.21474292633718406</v>
      </c>
      <c r="D55" s="837">
        <f t="shared" ca="1" si="7"/>
        <v>0.23764705882352946</v>
      </c>
      <c r="E55" s="837">
        <f t="shared" ca="1" si="7"/>
        <v>0.20200000000000001</v>
      </c>
      <c r="F55" s="837">
        <f t="shared" si="7"/>
        <v>0.22700000000000006</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5344.4426725821322</v>
      </c>
      <c r="C66" s="796">
        <f>'lokale energieproductie'!B6</f>
        <v>5344.4426725821322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1368</v>
      </c>
      <c r="C67" s="795">
        <f>B67*IFERROR(SUM(J67:L67)/SUM(D67:M67),0)</f>
        <v>0</v>
      </c>
      <c r="D67" s="827">
        <f>'lokale energieproductie'!C7</f>
        <v>1609.4117647058822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325.1011764705882</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6712.4426725821322</v>
      </c>
      <c r="C69" s="804">
        <f>SUM(C64:C68)</f>
        <v>5344.4426725821322</v>
      </c>
      <c r="D69" s="805">
        <f t="shared" ref="D69:M69" si="8">SUM(D67:D68)</f>
        <v>1609.4117647058822</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325.1011764705882</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1954.2857142857144</v>
      </c>
      <c r="C78" s="818">
        <f>B78*IFERROR(SUM(I78:L78)/SUM(D78:M78),0)</f>
        <v>0</v>
      </c>
      <c r="D78" s="833">
        <f>'lokale energieproductie'!C16</f>
        <v>2299.1596638655465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464.43025210084039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1954.2857142857144</v>
      </c>
      <c r="C81" s="804">
        <f>SUM(C78:C80)</f>
        <v>0</v>
      </c>
      <c r="D81" s="804">
        <f t="shared" ref="D81:P81" si="9">SUM(D78:D80)</f>
        <v>2299.1596638655465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464.43025210084039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56002.381701227183</v>
      </c>
      <c r="C4" s="479">
        <f>huishoudens!C8</f>
        <v>0</v>
      </c>
      <c r="D4" s="479">
        <f>huishoudens!D8</f>
        <v>165493.99124240488</v>
      </c>
      <c r="E4" s="479">
        <f>huishoudens!E8</f>
        <v>1462.8572720392319</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7441.8167968036178</v>
      </c>
      <c r="O4" s="479">
        <f>huishoudens!O8</f>
        <v>106.30666666666667</v>
      </c>
      <c r="P4" s="480">
        <f>huishoudens!P8</f>
        <v>171.6</v>
      </c>
      <c r="Q4" s="481">
        <f>SUM(B4:P4)</f>
        <v>230678.95367914159</v>
      </c>
    </row>
    <row r="5" spans="1:17">
      <c r="A5" s="478" t="s">
        <v>156</v>
      </c>
      <c r="B5" s="479">
        <f ca="1">tertiair!B16</f>
        <v>86890.054999999993</v>
      </c>
      <c r="C5" s="479">
        <f ca="1">tertiair!C16</f>
        <v>1928.5714285714287</v>
      </c>
      <c r="D5" s="479">
        <f ca="1">tertiair!D16</f>
        <v>96196.246563932553</v>
      </c>
      <c r="E5" s="479">
        <f>tertiair!E16</f>
        <v>1019.1289171846679</v>
      </c>
      <c r="F5" s="479">
        <f ca="1">tertiair!F16</f>
        <v>12537.719474919668</v>
      </c>
      <c r="G5" s="479">
        <f>tertiair!G16</f>
        <v>0</v>
      </c>
      <c r="H5" s="479">
        <f>tertiair!H16</f>
        <v>0</v>
      </c>
      <c r="I5" s="479">
        <f>tertiair!I16</f>
        <v>0</v>
      </c>
      <c r="J5" s="479">
        <f>tertiair!J16</f>
        <v>0</v>
      </c>
      <c r="K5" s="479">
        <f>tertiair!K16</f>
        <v>0</v>
      </c>
      <c r="L5" s="479">
        <f ca="1">tertiair!L16</f>
        <v>0</v>
      </c>
      <c r="M5" s="479">
        <f>tertiair!M16</f>
        <v>0</v>
      </c>
      <c r="N5" s="479">
        <f ca="1">tertiair!N16</f>
        <v>4292.7746234281203</v>
      </c>
      <c r="O5" s="479">
        <f>tertiair!O16</f>
        <v>0</v>
      </c>
      <c r="P5" s="480">
        <f>tertiair!P16</f>
        <v>76.266666666666666</v>
      </c>
      <c r="Q5" s="478">
        <f t="shared" ref="Q5:Q13" ca="1" si="0">SUM(B5:P5)</f>
        <v>202940.76267470309</v>
      </c>
    </row>
    <row r="6" spans="1:17">
      <c r="A6" s="478" t="s">
        <v>194</v>
      </c>
      <c r="B6" s="479">
        <f>'openbare verlichting'!B8</f>
        <v>2613.8270000000002</v>
      </c>
      <c r="C6" s="479"/>
      <c r="D6" s="479"/>
      <c r="E6" s="479"/>
      <c r="F6" s="479"/>
      <c r="G6" s="479"/>
      <c r="H6" s="479"/>
      <c r="I6" s="479"/>
      <c r="J6" s="479"/>
      <c r="K6" s="479"/>
      <c r="L6" s="479"/>
      <c r="M6" s="479"/>
      <c r="N6" s="479"/>
      <c r="O6" s="479"/>
      <c r="P6" s="480"/>
      <c r="Q6" s="478">
        <f t="shared" si="0"/>
        <v>2613.8270000000002</v>
      </c>
    </row>
    <row r="7" spans="1:17">
      <c r="A7" s="478" t="s">
        <v>112</v>
      </c>
      <c r="B7" s="479">
        <f>landbouw!B8</f>
        <v>42.404989999999998</v>
      </c>
      <c r="C7" s="479">
        <f>landbouw!C8</f>
        <v>25.714285714285715</v>
      </c>
      <c r="D7" s="479">
        <f>landbouw!D8</f>
        <v>10588.829870831443</v>
      </c>
      <c r="E7" s="479">
        <f>landbouw!E8</f>
        <v>0.39277277822242274</v>
      </c>
      <c r="F7" s="479">
        <f>landbouw!F8</f>
        <v>107.58953777230505</v>
      </c>
      <c r="G7" s="479">
        <f>landbouw!G8</f>
        <v>0</v>
      </c>
      <c r="H7" s="479">
        <f>landbouw!H8</f>
        <v>0</v>
      </c>
      <c r="I7" s="479">
        <f>landbouw!I8</f>
        <v>0</v>
      </c>
      <c r="J7" s="479">
        <f>landbouw!J8</f>
        <v>6.5011582080695982</v>
      </c>
      <c r="K7" s="479">
        <f>landbouw!K8</f>
        <v>0</v>
      </c>
      <c r="L7" s="479">
        <f>landbouw!L8</f>
        <v>0</v>
      </c>
      <c r="M7" s="479">
        <f>landbouw!M8</f>
        <v>0</v>
      </c>
      <c r="N7" s="479">
        <f>landbouw!N8</f>
        <v>0</v>
      </c>
      <c r="O7" s="479">
        <f>landbouw!O8</f>
        <v>0</v>
      </c>
      <c r="P7" s="480">
        <f>landbouw!P8</f>
        <v>0</v>
      </c>
      <c r="Q7" s="478">
        <f t="shared" si="0"/>
        <v>10771.432615304326</v>
      </c>
    </row>
    <row r="8" spans="1:17">
      <c r="A8" s="478" t="s">
        <v>650</v>
      </c>
      <c r="B8" s="479">
        <f>industrie!B18</f>
        <v>39522.05603</v>
      </c>
      <c r="C8" s="479">
        <f>industrie!C18</f>
        <v>0</v>
      </c>
      <c r="D8" s="479">
        <f>industrie!D18</f>
        <v>12720.736456878916</v>
      </c>
      <c r="E8" s="479">
        <f>industrie!E18</f>
        <v>2003.8018794068716</v>
      </c>
      <c r="F8" s="479">
        <f>industrie!F18</f>
        <v>13632.992032024249</v>
      </c>
      <c r="G8" s="479">
        <f>industrie!G18</f>
        <v>0</v>
      </c>
      <c r="H8" s="479">
        <f>industrie!H18</f>
        <v>0</v>
      </c>
      <c r="I8" s="479">
        <f>industrie!I18</f>
        <v>0</v>
      </c>
      <c r="J8" s="479">
        <f>industrie!J18</f>
        <v>194.24134977681979</v>
      </c>
      <c r="K8" s="479">
        <f>industrie!K18</f>
        <v>0</v>
      </c>
      <c r="L8" s="479">
        <f>industrie!L18</f>
        <v>0</v>
      </c>
      <c r="M8" s="479">
        <f>industrie!M18</f>
        <v>0</v>
      </c>
      <c r="N8" s="479">
        <f>industrie!N18</f>
        <v>7741.7297869124668</v>
      </c>
      <c r="O8" s="479">
        <f>industrie!O18</f>
        <v>0</v>
      </c>
      <c r="P8" s="480">
        <f>industrie!P18</f>
        <v>0</v>
      </c>
      <c r="Q8" s="478">
        <f t="shared" si="0"/>
        <v>75815.557534999301</v>
      </c>
    </row>
    <row r="9" spans="1:17" s="484" customFormat="1">
      <c r="A9" s="482" t="s">
        <v>571</v>
      </c>
      <c r="B9" s="483">
        <f>transport!B14</f>
        <v>55.53662580138699</v>
      </c>
      <c r="C9" s="483">
        <f>transport!C14</f>
        <v>0</v>
      </c>
      <c r="D9" s="483">
        <f>transport!D14</f>
        <v>139.77723846821411</v>
      </c>
      <c r="E9" s="483">
        <f>transport!E14</f>
        <v>1052.082313732157</v>
      </c>
      <c r="F9" s="483">
        <f>transport!F14</f>
        <v>0</v>
      </c>
      <c r="G9" s="483">
        <f>transport!G14</f>
        <v>301825.10826366436</v>
      </c>
      <c r="H9" s="483">
        <f>transport!H14</f>
        <v>54621.217545058862</v>
      </c>
      <c r="I9" s="483">
        <f>transport!I14</f>
        <v>0</v>
      </c>
      <c r="J9" s="483">
        <f>transport!J14</f>
        <v>0</v>
      </c>
      <c r="K9" s="483">
        <f>transport!K14</f>
        <v>0</v>
      </c>
      <c r="L9" s="483">
        <f>transport!L14</f>
        <v>0</v>
      </c>
      <c r="M9" s="483">
        <f>transport!M14</f>
        <v>19140.648640352778</v>
      </c>
      <c r="N9" s="483">
        <f>transport!N14</f>
        <v>0</v>
      </c>
      <c r="O9" s="483">
        <f>transport!O14</f>
        <v>0</v>
      </c>
      <c r="P9" s="483">
        <f>transport!P14</f>
        <v>0</v>
      </c>
      <c r="Q9" s="482">
        <f>SUM(B9:P9)</f>
        <v>376834.37062707776</v>
      </c>
    </row>
    <row r="10" spans="1:17">
      <c r="A10" s="478" t="s">
        <v>561</v>
      </c>
      <c r="B10" s="479">
        <f>transport!B54</f>
        <v>0</v>
      </c>
      <c r="C10" s="479">
        <f>transport!C54</f>
        <v>0</v>
      </c>
      <c r="D10" s="479">
        <f>transport!D54</f>
        <v>0</v>
      </c>
      <c r="E10" s="479">
        <f>transport!E54</f>
        <v>0</v>
      </c>
      <c r="F10" s="479">
        <f>transport!F54</f>
        <v>0</v>
      </c>
      <c r="G10" s="479">
        <f>transport!G54</f>
        <v>4531.3227417755998</v>
      </c>
      <c r="H10" s="479">
        <f>transport!H54</f>
        <v>0</v>
      </c>
      <c r="I10" s="479">
        <f>transport!I54</f>
        <v>0</v>
      </c>
      <c r="J10" s="479">
        <f>transport!J54</f>
        <v>0</v>
      </c>
      <c r="K10" s="479">
        <f>transport!K54</f>
        <v>0</v>
      </c>
      <c r="L10" s="479">
        <f>transport!L54</f>
        <v>0</v>
      </c>
      <c r="M10" s="479">
        <f>transport!M54</f>
        <v>258.40812644409522</v>
      </c>
      <c r="N10" s="479">
        <f>transport!N54</f>
        <v>0</v>
      </c>
      <c r="O10" s="479">
        <f>transport!O54</f>
        <v>0</v>
      </c>
      <c r="P10" s="480">
        <f>transport!P54</f>
        <v>0</v>
      </c>
      <c r="Q10" s="478">
        <f t="shared" si="0"/>
        <v>4789.7308682196954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185126.26134702857</v>
      </c>
      <c r="C14" s="489">
        <f t="shared" ref="C14:Q14" ca="1" si="1">SUM(C4:C13)</f>
        <v>1954.2857142857144</v>
      </c>
      <c r="D14" s="489">
        <f t="shared" ca="1" si="1"/>
        <v>285139.581372516</v>
      </c>
      <c r="E14" s="489">
        <f t="shared" si="1"/>
        <v>5538.2631551411505</v>
      </c>
      <c r="F14" s="489">
        <f t="shared" ca="1" si="1"/>
        <v>26278.301044716223</v>
      </c>
      <c r="G14" s="489">
        <f t="shared" si="1"/>
        <v>306356.43100543995</v>
      </c>
      <c r="H14" s="489">
        <f t="shared" si="1"/>
        <v>54621.217545058862</v>
      </c>
      <c r="I14" s="489">
        <f t="shared" si="1"/>
        <v>0</v>
      </c>
      <c r="J14" s="489">
        <f t="shared" si="1"/>
        <v>200.74250798488939</v>
      </c>
      <c r="K14" s="489">
        <f t="shared" si="1"/>
        <v>0</v>
      </c>
      <c r="L14" s="489">
        <f t="shared" ca="1" si="1"/>
        <v>0</v>
      </c>
      <c r="M14" s="489">
        <f t="shared" si="1"/>
        <v>19399.056766796872</v>
      </c>
      <c r="N14" s="489">
        <f t="shared" ca="1" si="1"/>
        <v>19476.321207144203</v>
      </c>
      <c r="O14" s="489">
        <f t="shared" si="1"/>
        <v>106.30666666666667</v>
      </c>
      <c r="P14" s="490">
        <f t="shared" si="1"/>
        <v>247.86666666666667</v>
      </c>
      <c r="Q14" s="490">
        <f t="shared" ca="1" si="1"/>
        <v>904444.63499944576</v>
      </c>
    </row>
    <row r="16" spans="1:17">
      <c r="A16" s="492" t="s">
        <v>566</v>
      </c>
      <c r="B16" s="842">
        <f ca="1">huishoudens!B10</f>
        <v>0.21474292633718411</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12026.115328373497</v>
      </c>
      <c r="C21" s="479">
        <f t="shared" ref="C21:C30" ca="1" si="3">C4*$C$16</f>
        <v>0</v>
      </c>
      <c r="D21" s="479">
        <f t="shared" ref="D21:D30" si="4">D4*$D$16</f>
        <v>33429.786230965787</v>
      </c>
      <c r="E21" s="479">
        <f t="shared" ref="E21:E30" si="5">E4*$E$16</f>
        <v>332.06860075290564</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45787.970160092191</v>
      </c>
    </row>
    <row r="22" spans="1:17">
      <c r="A22" s="478" t="s">
        <v>156</v>
      </c>
      <c r="B22" s="479">
        <f t="shared" ca="1" si="2"/>
        <v>18659.024680298873</v>
      </c>
      <c r="C22" s="479">
        <f t="shared" ca="1" si="3"/>
        <v>458.31932773109253</v>
      </c>
      <c r="D22" s="479">
        <f t="shared" ca="1" si="4"/>
        <v>19431.641805914376</v>
      </c>
      <c r="E22" s="479">
        <f t="shared" si="5"/>
        <v>231.34226420091963</v>
      </c>
      <c r="F22" s="479">
        <f t="shared" ca="1" si="6"/>
        <v>3347.5710998035515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42127.899177948806</v>
      </c>
    </row>
    <row r="23" spans="1:17">
      <c r="A23" s="478" t="s">
        <v>194</v>
      </c>
      <c r="B23" s="479">
        <f t="shared" ca="1" si="2"/>
        <v>561.30085891914302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561.30085891914302</v>
      </c>
    </row>
    <row r="24" spans="1:17">
      <c r="A24" s="478" t="s">
        <v>112</v>
      </c>
      <c r="B24" s="479">
        <f t="shared" ca="1" si="2"/>
        <v>9.1061716438990281</v>
      </c>
      <c r="C24" s="479">
        <f t="shared" ca="1" si="3"/>
        <v>6.1109243697478997</v>
      </c>
      <c r="D24" s="479">
        <f t="shared" si="4"/>
        <v>2138.9436339079516</v>
      </c>
      <c r="E24" s="479">
        <f t="shared" si="5"/>
        <v>8.9159420656489963E-2</v>
      </c>
      <c r="F24" s="479">
        <f t="shared" si="6"/>
        <v>28.726406585205449</v>
      </c>
      <c r="G24" s="479">
        <f t="shared" si="7"/>
        <v>0</v>
      </c>
      <c r="H24" s="479">
        <f t="shared" si="8"/>
        <v>0</v>
      </c>
      <c r="I24" s="479">
        <f t="shared" si="9"/>
        <v>0</v>
      </c>
      <c r="J24" s="479">
        <f t="shared" si="10"/>
        <v>2.3014100056566376</v>
      </c>
      <c r="K24" s="479">
        <f t="shared" si="11"/>
        <v>0</v>
      </c>
      <c r="L24" s="479">
        <f t="shared" si="12"/>
        <v>0</v>
      </c>
      <c r="M24" s="479">
        <f t="shared" si="13"/>
        <v>0</v>
      </c>
      <c r="N24" s="479">
        <f t="shared" si="14"/>
        <v>0</v>
      </c>
      <c r="O24" s="479">
        <f t="shared" si="15"/>
        <v>0</v>
      </c>
      <c r="P24" s="480">
        <f t="shared" si="16"/>
        <v>0</v>
      </c>
      <c r="Q24" s="478">
        <f t="shared" ca="1" si="17"/>
        <v>2185.277705933117</v>
      </c>
    </row>
    <row r="25" spans="1:17">
      <c r="A25" s="478" t="s">
        <v>650</v>
      </c>
      <c r="B25" s="479">
        <f t="shared" ca="1" si="2"/>
        <v>8487.0819667443538</v>
      </c>
      <c r="C25" s="479">
        <f t="shared" ca="1" si="3"/>
        <v>0</v>
      </c>
      <c r="D25" s="479">
        <f t="shared" si="4"/>
        <v>2569.5887642895414</v>
      </c>
      <c r="E25" s="479">
        <f t="shared" si="5"/>
        <v>454.86302662535985</v>
      </c>
      <c r="F25" s="479">
        <f t="shared" si="6"/>
        <v>3640.0088725504747</v>
      </c>
      <c r="G25" s="479">
        <f t="shared" si="7"/>
        <v>0</v>
      </c>
      <c r="H25" s="479">
        <f t="shared" si="8"/>
        <v>0</v>
      </c>
      <c r="I25" s="479">
        <f t="shared" si="9"/>
        <v>0</v>
      </c>
      <c r="J25" s="479">
        <f t="shared" si="10"/>
        <v>68.761437820994203</v>
      </c>
      <c r="K25" s="479">
        <f t="shared" si="11"/>
        <v>0</v>
      </c>
      <c r="L25" s="479">
        <f t="shared" si="12"/>
        <v>0</v>
      </c>
      <c r="M25" s="479">
        <f t="shared" si="13"/>
        <v>0</v>
      </c>
      <c r="N25" s="479">
        <f t="shared" si="14"/>
        <v>0</v>
      </c>
      <c r="O25" s="479">
        <f t="shared" si="15"/>
        <v>0</v>
      </c>
      <c r="P25" s="480">
        <f t="shared" si="16"/>
        <v>0</v>
      </c>
      <c r="Q25" s="478">
        <f t="shared" ca="1" si="17"/>
        <v>15220.304068030724</v>
      </c>
    </row>
    <row r="26" spans="1:17" s="484" customFormat="1">
      <c r="A26" s="482" t="s">
        <v>571</v>
      </c>
      <c r="B26" s="836">
        <f t="shared" ca="1" si="2"/>
        <v>11.926097543483005</v>
      </c>
      <c r="C26" s="483">
        <f t="shared" ca="1" si="3"/>
        <v>0</v>
      </c>
      <c r="D26" s="483">
        <f t="shared" si="4"/>
        <v>28.23500217057925</v>
      </c>
      <c r="E26" s="483">
        <f t="shared" si="5"/>
        <v>238.82268521719965</v>
      </c>
      <c r="F26" s="483">
        <f t="shared" si="6"/>
        <v>0</v>
      </c>
      <c r="G26" s="483">
        <f t="shared" si="7"/>
        <v>80587.303906398389</v>
      </c>
      <c r="H26" s="483">
        <f t="shared" si="8"/>
        <v>13600.683168719657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94466.970860049303</v>
      </c>
    </row>
    <row r="27" spans="1:17">
      <c r="A27" s="478" t="s">
        <v>561</v>
      </c>
      <c r="B27" s="479">
        <f t="shared" ca="1" si="2"/>
        <v>0</v>
      </c>
      <c r="C27" s="479">
        <f t="shared" ca="1" si="3"/>
        <v>0</v>
      </c>
      <c r="D27" s="479">
        <f t="shared" si="4"/>
        <v>0</v>
      </c>
      <c r="E27" s="479">
        <f t="shared" si="5"/>
        <v>0</v>
      </c>
      <c r="F27" s="479">
        <f t="shared" si="6"/>
        <v>0</v>
      </c>
      <c r="G27" s="479">
        <f t="shared" si="7"/>
        <v>1209.8631720540852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1209.8631720540852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39754.555103523242</v>
      </c>
      <c r="C31" s="489">
        <f t="shared" ca="1" si="18"/>
        <v>464.43025210084045</v>
      </c>
      <c r="D31" s="489">
        <f t="shared" ca="1" si="18"/>
        <v>57598.195437248236</v>
      </c>
      <c r="E31" s="489">
        <f t="shared" si="18"/>
        <v>1257.1857362170413</v>
      </c>
      <c r="F31" s="489">
        <f t="shared" ca="1" si="18"/>
        <v>7016.3063789392318</v>
      </c>
      <c r="G31" s="489">
        <f t="shared" si="18"/>
        <v>81797.167078452476</v>
      </c>
      <c r="H31" s="489">
        <f t="shared" si="18"/>
        <v>13600.683168719657</v>
      </c>
      <c r="I31" s="489">
        <f t="shared" si="18"/>
        <v>0</v>
      </c>
      <c r="J31" s="489">
        <f t="shared" si="18"/>
        <v>71.062847826650838</v>
      </c>
      <c r="K31" s="489">
        <f t="shared" si="18"/>
        <v>0</v>
      </c>
      <c r="L31" s="489">
        <f t="shared" ca="1" si="18"/>
        <v>0</v>
      </c>
      <c r="M31" s="489">
        <f t="shared" si="18"/>
        <v>0</v>
      </c>
      <c r="N31" s="489">
        <f t="shared" ca="1" si="18"/>
        <v>0</v>
      </c>
      <c r="O31" s="489">
        <f t="shared" si="18"/>
        <v>0</v>
      </c>
      <c r="P31" s="490">
        <f t="shared" si="18"/>
        <v>0</v>
      </c>
      <c r="Q31" s="490">
        <f t="shared" ca="1" si="18"/>
        <v>201559.58600302736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0.21474292633718411</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0.21474292633718411</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0.21474292633718411</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2018-06-27T09:35:37Z</dcterms:modified>
</cp:coreProperties>
</file>