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<sst xmlns="http://schemas.openxmlformats.org/spreadsheetml/2006/main" count="1950" uniqueCount="834">
  <si>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</si>
  <si>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</si>
  <si>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</si>
  <si>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</si>
  <si>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</si>
  <si>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</si>
  <si>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</si>
  <si>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</si>
  <si>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</si>
  <si>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</si>
  <si>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</si>
  <si>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</si>
  <si>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</si>
  <si>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</si>
  <si>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</si>
  <si>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</si>
  <si>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</si>
  <si>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</si>
  <si>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</si>
  <si>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</si>
  <si>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</si>
  <si>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</si>
  <si>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</si>
  <si>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</si>
  <si>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</si>
  <si>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</si>
  <si>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</si>
  <si>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</si>
  <si>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</si>
  <si>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</si>
  <si>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</si>
  <si>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</si>
  <si>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</si>
  <si>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</si>
  <si>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</si>
  <si>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</si>
  <si>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</si>
  <si>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</si>
  <si>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</si>
  <si>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</si>
  <si>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</si>
  <si>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</si>
  <si>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</si>
  <si>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</si>
  <si>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</si>
  <si>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</si>
  <si>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</si>
  <si>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</si>
  <si>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</si>
  <si>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</si>
  <si>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</si>
  <si>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</si>
  <si>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</si>
  <si>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</si>
  <si>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</si>
  <si>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</si>
  <si>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</si>
  <si>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</si>
  <si>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</si>
  <si>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</si>
  <si>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</si>
  <si>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</si>
  <si>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</si>
  <si>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</si>
  <si>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</si>
  <si>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</si>
  <si>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</si>
  <si>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</si>
  <si>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</si>
  <si>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</si>
  <si>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</si>
  <si>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</si>
  <si>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</si>
  <si>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</si>
  <si>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</si>
  <si>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</si>
  <si>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</si>
  <si>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</si>
  <si>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</si>
  <si>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</si>
  <si>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</si>
  <si>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</si>
  <si>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</si>
  <si>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</si>
  <si>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</si>
  <si>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</si>
  <si>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</si>
  <si>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</si>
  <si>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</si>
  <si>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</si>
  <si>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</si>
  <si>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</si>
  <si>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</si>
  <si>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</si>
  <si>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</si>
  <si>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</si>
  <si>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</si>
  <si>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</si>
  <si>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</si>
  <si>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</si>
  <si>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</si>
  <si>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</si>
  <si>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</si>
  <si>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</si>
  <si>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</si>
  <si>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</si>
  <si>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</si>
  <si>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</si>
  <si>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</si>
  <si>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</si>
  <si>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</si>
  <si>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</si>
  <si>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</si>
  <si>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</si>
  <si>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</si>
  <si>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</si>
  <si>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</si>
  <si>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</si>
  <si>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</si>
  <si>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</si>
  <si>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</si>
  <si>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</si>
  <si>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</si>
  <si>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</si>
  <si>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</si>
  <si>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</si>
  <si>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</si>
  <si>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</si>
  <si>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</si>
  <si>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</si>
  <si>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</si>
  <si>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</si>
  <si>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</si>
  <si>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</si>
  <si>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</si>
  <si>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</si>
  <si>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</si>
  <si>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</si>
  <si>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</si>
  <si>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</si>
  <si>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</si>
  <si>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</si>
  <si>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</si>
  <si>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</si>
  <si>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</si>
  <si>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</si>
  <si>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</si>
  <si>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</si>
  <si>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</si>
  <si>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</si>
  <si>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</si>
  <si>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</si>
  <si>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</si>
  <si>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</si>
  <si>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</si>
  <si>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</si>
  <si>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</si>
  <si>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</si>
  <si>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</si>
  <si>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</si>
  <si>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</si>
  <si>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</si>
  <si>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</si>
  <si>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</si>
  <si>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</si>
  <si>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</si>
  <si>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</si>
  <si>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</si>
  <si>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</si>
  <si>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</si>
  <si>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</si>
  <si>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</si>
  <si>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</si>
  <si>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</si>
  <si>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</si>
  <si>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</si>
  <si>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</si>
  <si>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</si>
  <si>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</si>
  <si>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</si>
  <si>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</si>
  <si>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</si>
  <si>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</si>
  <si>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</si>
  <si>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</si>
  <si>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</si>
  <si>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</si>
  <si>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</si>
  <si>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</si>
  <si>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</si>
  <si>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</si>
  <si>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</si>
  <si>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</si>
  <si>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</si>
  <si>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</si>
  <si>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</si>
  <si>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</si>
  <si>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</si>
  <si>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</si>
  <si>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</si>
  <si>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</si>
  <si>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</si>
  <si>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</si>
  <si>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</si>
  <si>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</si>
  <si>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</si>
  <si>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</si>
  <si>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</si>
  <si>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</si>
  <si>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</si>
  <si>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</si>
  <si>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</si>
  <si>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</si>
  <si>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</si>
  <si>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</si>
  <si>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</si>
  <si>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</si>
  <si>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</si>
  <si>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</si>
  <si>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</si>
  <si>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</si>
  <si>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</si>
  <si>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</si>
  <si>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</si>
  <si>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</si>
  <si>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</si>
  <si>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</si>
  <si>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</si>
  <si>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</si>
  <si>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</si>
  <si>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</si>
  <si>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</si>
  <si>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</si>
  <si>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</si>
  <si>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</si>
  <si>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</si>
  <si>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</si>
  <si>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</si>
  <si>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</si>
  <si>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</si>
  <si>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</si>
  <si>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</si>
  <si>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</si>
  <si>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</si>
  <si>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</si>
  <si>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</si>
  <si>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</si>
  <si>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</si>
  <si>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</si>
  <si>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</si>
  <si>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</si>
  <si>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</si>
  <si>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</si>
  <si>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</si>
  <si>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</si>
  <si>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</si>
  <si>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</si>
  <si>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</si>
  <si>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</si>
  <si>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</si>
  <si>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</si>
  <si>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</si>
  <si>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</si>
  <si>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</si>
  <si>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</si>
  <si>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</si>
  <si>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</si>
  <si>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</si>
  <si>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</si>
  <si>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</si>
  <si>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</si>
  <si>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</si>
  <si>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</si>
  <si>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</si>
  <si>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</si>
  <si>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</si>
  <si>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</si>
  <si>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</si>
  <si>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</si>
  <si>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</si>
  <si>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</si>
  <si>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</si>
  <si>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</si>
  <si>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</si>
  <si>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</si>
  <si>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</si>
  <si>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</si>
  <si>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</si>
  <si>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</si>
  <si>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</si>
  <si>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</si>
  <si>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</si>
  <si>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</si>
  <si>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</si>
  <si>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</si>
  <si>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</si>
  <si>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</si>
  <si>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</si>
  <si>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</si>
  <si>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</si>
  <si>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</si>
  <si>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</si>
  <si>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</si>
  <si>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</si>
  <si>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</si>
  <si>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</si>
  <si>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</si>
  <si>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</si>
  <si>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</si>
  <si>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</si>
  <si>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</si>
  <si>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</si>
  <si>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</si>
  <si>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</si>
  <si>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</si>
  <si>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</si>
  <si>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</si>
  <si>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</si>
  <si>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</si>
  <si>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</si>
  <si>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</si>
  <si>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</si>
  <si>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</si>
  <si>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</si>
  <si>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</si>
  <si>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</si>
  <si>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</si>
  <si>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</si>
  <si>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</si>
  <si>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</si>
  <si>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</si>
  <si>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</si>
  <si>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</si>
  <si>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</si>
  <si>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</si>
  <si>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</si>
  <si>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</si>
  <si>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</si>
  <si>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</si>
  <si>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</si>
  <si>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</si>
  <si>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</si>
  <si>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</si>
  <si>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</si>
  <si>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</si>
  <si>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</si>
  <si>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</si>
  <si>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</si>
  <si>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</si>
  <si>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</si>
  <si>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</si>
  <si>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</si>
  <si>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</si>
  <si>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</si>
  <si>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</si>
  <si>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</si>
  <si>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</si>
  <si>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</si>
  <si>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</si>
  <si>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</si>
  <si>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</si>
  <si>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</si>
  <si>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</si>
  <si>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</si>
  <si>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</si>
  <si>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</si>
  <si>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</si>
  <si>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</si>
  <si>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</si>
  <si>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</si>
  <si>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</si>
  <si>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</si>
  <si>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</si>
  <si>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</si>
  <si>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</si>
  <si>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</si>
  <si>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</si>
  <si>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</si>
  <si>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</si>
  <si>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</si>
  <si>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</si>
  <si>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</si>
  <si>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</si>
  <si>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</si>
  <si>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</si>
  <si>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</si>
  <si>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</si>
  <si>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</si>
  <si>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</si>
  <si>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</si>
  <si>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</si>
  <si>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</si>
  <si>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</si>
  <si>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</si>
  <si>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</si>
  <si>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</si>
  <si>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</si>
  <si>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</si>
  <si>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</si>
  <si>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</si>
  <si>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</si>
  <si>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</si>
  <si>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</si>
  <si>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</si>
  <si>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</si>
  <si>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</si>
  <si>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</si>
  <si>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</si>
  <si>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</si>
  <si>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</si>
  <si>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</si>
  <si>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</si>
  <si>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</si>
  <si>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</si>
  <si>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</si>
  <si>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</si>
  <si>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</si>
  <si>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</si>
  <si>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</si>
  <si>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</si>
  <si>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</si>
  <si>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</si>
  <si>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</si>
  <si>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</si>
  <si>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</si>
  <si>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</si>
  <si>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</si>
  <si>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</si>
  <si>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</si>
  <si>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</si>
  <si>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</si>
  <si>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</si>
  <si>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</si>
  <si>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</si>
  <si>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</si>
  <si>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</si>
  <si>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</si>
  <si>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</si>
  <si>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</si>
  <si>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</si>
  <si>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</si>
  <si>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</si>
  <si>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</si>
  <si>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</si>
  <si>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</si>
  <si>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</si>
  <si>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</si>
  <si>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</si>
  <si>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</si>
  <si>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</si>
  <si>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</si>
  <si>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</si>
  <si>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</si>
  <si>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</si>
  <si>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</si>
  <si>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</si>
  <si>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</si>
  <si>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</si>
  <si>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</si>
  <si>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</si>
  <si>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</si>
  <si>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</si>
  <si>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</si>
  <si>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</si>
  <si>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</si>
  <si>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</si>
  <si>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</si>
  <si>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</si>
  <si>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</si>
  <si>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</si>
  <si>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</si>
  <si>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</si>
  <si>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</si>
  <si>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</si>
  <si>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</si>
  <si>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</si>
  <si>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</si>
  <si>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</si>
  <si>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</si>
  <si>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</si>
  <si>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</si>
  <si>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</si>
  <si>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</si>
  <si>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</si>
  <si>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</si>
  <si>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</si>
  <si>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</si>
  <si>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</si>
  <si>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</si>
  <si>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</si>
  <si>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</si>
  <si>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</si>
  <si>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</si>
  <si>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</si>
  <si>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</si>
  <si>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</si>
  <si>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</si>
  <si>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</si>
  <si>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</si>
  <si>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</si>
  <si>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</si>
  <si>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</si>
  <si>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</si>
  <si>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</si>
  <si>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</si>
  <si>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</si>
  <si>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</si>
  <si>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</si>
  <si>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</si>
  <si>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</si>
  <si>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</si>
  <si>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</si>
  <si>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</si>
  <si>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</si>
  <si>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</si>
  <si>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</si>
  <si>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</si>
  <si>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</si>
  <si>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</si>
  <si>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</si>
  <si>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</si>
  <si>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</si>
  <si>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</si>
  <si>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</si>
  <si>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</si>
  <si>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</si>
  <si>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</si>
  <si>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</si>
  <si>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</si>
  <si>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</si>
  <si>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</si>
  <si>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</si>
  <si>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</si>
  <si>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</si>
  <si>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</si>
  <si>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</si>
  <si>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</si>
  <si>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</si>
  <si>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</si>
  <si>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</si>
  <si>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</si>
  <si>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</si>
  <si>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</si>
  <si>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</si>
  <si>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</si>
  <si>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</si>
  <si>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</si>
  <si>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</si>
  <si>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</si>
  <si>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</si>
  <si>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</si>
  <si>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</si>
  <si>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</si>
  <si>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</si>
  <si>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</si>
  <si>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</si>
  <si>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</si>
  <si>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</si>
  <si>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</si>
  <si>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</si>
  <si>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</si>
  <si>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</si>
  <si>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</si>
  <si>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</si>
  <si>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</si>
  <si>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</si>
  <si>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</si>
  <si>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</si>
  <si>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</si>
  <si>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</si>
  <si>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</si>
  <si>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</si>
  <si>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</si>
  <si>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</si>
  <si>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</si>
  <si>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</si>
  <si>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</si>
  <si>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</si>
  <si>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</si>
  <si>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</si>
  <si>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</si>
  <si>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</si>
  <si>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</si>
  <si>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</si>
  <si>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</si>
  <si>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</si>
  <si>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</si>
  <si>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</si>
  <si>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</si>
  <si>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</si>
  <si>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</si>
  <si>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</si>
  <si>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</si>
  <si>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</si>
  <si>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</si>
  <si>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</si>
  <si>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</si>
  <si>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</si>
  <si>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</si>
  <si>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</si>
  <si>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</si>
  <si>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</si>
  <si>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</si>
  <si>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</si>
  <si>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</si>
  <si>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</si>
  <si>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</si>
  <si>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</si>
  <si>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</si>
  <si>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</si>
  <si>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</si>
  <si>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</si>
  <si>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</si>
  <si>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</si>
  <si>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</si>
  <si>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</si>
  <si>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</si>
  <si>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</si>
  <si>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</si>
  <si>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</si>
  <si>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</si>
  <si>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</si>
  <si>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</si>
  <si>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</si>
  <si>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</si>
  <si>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</si>
  <si>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</si>
  <si>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</si>
  <si>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</si>
  <si>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</si>
  <si>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</si>
  <si>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</si>
  <si>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</si>
  <si>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</si>
  <si>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</si>
  <si>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</si>
  <si>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</si>
  <si>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</si>
  <si>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</si>
  <si>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</si>
  <si>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</si>
  <si>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</si>
  <si>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</si>
  <si>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</si>
  <si>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</si>
  <si>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</si>
  <si>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</si>
  <si>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</si>
  <si>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</si>
  <si>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</si>
  <si>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</si>
  <si>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</si>
  <si>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</si>
  <si>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</si>
  <si>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</si>
  <si>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</si>
  <si>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</si>
  <si>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</si>
  <si>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</si>
  <si>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</si>
  <si>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</si>
  <si>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</si>
  <si>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</si>
  <si>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</si>
  <si>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</si>
  <si>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</si>
  <si>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</si>
  <si>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</si>
  <si>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</si>
  <si>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</si>
  <si>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</si>
  <si>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</si>
  <si>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</si>
  <si>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</si>
  <si>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</si>
  <si>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</si>
  <si>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</si>
  <si>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</si>
  <si>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</si>
  <si>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</si>
  <si>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</si>
  <si>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</si>
  <si>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</si>
  <si>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</si>
  <si>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</si>
  <si>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</si>
  <si>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</si>
  <si>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</si>
  <si>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</si>
  <si>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</si>
  <si>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</si>
  <si>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</si>
  <si>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</si>
  <si>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</si>
  <si>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</si>
  <si>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</si>
  <si>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</si>
  <si>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</si>
  <si>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</si>
  <si>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</si>
  <si>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</si>
  <si>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</si>
  <si>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</si>
  <si>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</si>
  <si>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</si>
  <si>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</si>
  <si>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</si>
  <si>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</si>
  <si>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</si>
  <si>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</si>
  <si>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</si>
  <si>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</si>
  <si>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</si>
  <si>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</si>
  <si>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</si>
  <si>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</si>
  <si>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</si>
  <si>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</si>
  <si>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</si>
  <si>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</si>
  <si>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</si>
  <si>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</si>
  <si>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</si>
  <si>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</si>
  <si>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</si>
  <si>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</si>
  <si>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</si>
  <si>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</si>
  <si>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</si>
  <si>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</si>
  <si>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</si>
  <si>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</si>
  <si>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</si>
  <si>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</si>
  <si>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</si>
  <si>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</si>
  <si>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</si>
  <si>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</si>
  <si>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</si>
  <si>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</si>
  <si>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</si>
  <si>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</si>
  <si>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</si>
  <si>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</si>
  <si>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</si>
  <si>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</si>
  <si>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</si>
  <si>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</si>
  <si>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</si>
  <si>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</si>
  <si>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</si>
  <si>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</si>
  <si>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</si>
  <si>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</si>
  <si>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</si>
  <si>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</si>
  <si>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</si>
  <si>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</si>
  <si>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</si>
  <si>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</si>
  <si>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</si>
  <si>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</si>
  <si>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</si>
  <si>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</si>
  <si>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</si>
  <si>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</si>
  <si>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</si>
  <si>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</si>
  <si>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</si>
  <si>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</si>
  <si>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</si>
  <si>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</si>
  <si>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</si>
  <si>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</si>
  <si>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</si>
  <si>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</si>
  <si>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</si>
  <si>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</si>
  <si>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</si>
  <si>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</si>
  <si>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</si>
  <si>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</si>
  <si>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</si>
  <si>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</si>
  <si>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</si>
  <si>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</si>
  <si>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</si>
  <si>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</si>
  <si>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</si>
  <si>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</si>
  <si>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</si>
  <si>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</si>
  <si>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</si>
  <si>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</si>
  <si>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</si>
  <si>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</si>
  <si>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</si>
  <si>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</si>
  <si>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</si>
  <si>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</si>
  <si>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</si>
  <si>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</si>
  <si>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</si>
  <si>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</si>
  <si>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</si>
  <si>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</si>
  <si>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</si>
  <si>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</si>
  <si>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</si>
  <si>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</si>
  <si>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</si>
  <si>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</si>
  <si>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</si>
  <si>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</si>
  <si>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</si>
  <si>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</si>
  <si>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</si>
  <si>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</si>
  <si>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</si>
  <si>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</si>
  <si>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</si>
  <si>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</si>
  <si>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</si>
  <si>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</si>
  <si>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</si>
  <si>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</si>
  <si>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23077</t>
  </si>
  <si>
    <t>SINT-PIETERS-LEEUW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</si>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</sst>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209320.18010953523</c:v>
                </c:pt>
                <c:pt idx="1">
                  <c:v>86285.804379356632</c:v>
                </c:pt>
                <c:pt idx="2">
                  <c:v>1788.7909999999999</c:v>
                </c:pt>
                <c:pt idx="3">
                  <c:v>14680.986686546426</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209320.18010953523</c:v>
                </c:pt>
                <c:pt idx="1">
                  <c:v>86285.804379356632</c:v>
                </c:pt>
                <c:pt idx="2">
                  <c:v>1788.7909999999999</c:v>
                </c:pt>
                <c:pt idx="3">
                  <c:v>14680.986686546426</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42143.575044029072</c:v>
                </c:pt>
                <c:pt idx="1">
                  <c:v>17482.416810346378</c:v>
                </c:pt>
                <c:pt idx="2">
                  <c:v>381.85809731134833</c:v>
                </c:pt>
                <c:pt idx="3">
                  <c:v>3116.771901084514</c:v>
                </c:pt>
                <c:pt idx="4">
                  <c:v>12825.601613763609</c:v>
                </c:pt>
                <c:pt idx="5">
                  <c:v>61248.685797094768</c:v>
                </c:pt>
                <c:pt idx="6">
                  <c:v>1186.6671575781249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42143.575044029072</c:v>
                </c:pt>
                <c:pt idx="1">
                  <c:v>17482.416810346378</c:v>
                </c:pt>
                <c:pt idx="2">
                  <c:v>381.85809731134833</c:v>
                </c:pt>
                <c:pt idx="3">
                  <c:v>3116.771901084514</c:v>
                </c:pt>
                <c:pt idx="4">
                  <c:v>12825.601613763609</c:v>
                </c:pt>
                <c:pt idx="5">
                  <c:v>61248.685797094768</c:v>
                </c:pt>
                <c:pt idx="6">
                  <c:v>1186.6671575781249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23077</v>
      </c>
      <c r="B6" s="416"/>
      <c r="C6" s="417"/>
    </row>
    <row r="7" spans="1:7" s="414" customFormat="1" ht="15.75" customHeight="1">
      <c r="A7" s="418" t="str">
        <f>txtMunicipality</f>
        <v>SINT-PIETERS-LEEUW</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44403.025399999999</v>
      </c>
      <c r="D10" s="719">
        <f ca="1">tertiair!C16</f>
        <v>0</v>
      </c>
      <c r="E10" s="719">
        <f ca="1">tertiair!D16</f>
        <v>32647.909037947156</v>
      </c>
      <c r="F10" s="719">
        <f>tertiair!E16</f>
        <v>452.83246180907116</v>
      </c>
      <c r="G10" s="719">
        <f ca="1">tertiair!F16</f>
        <v>6321.2332661591463</v>
      </c>
      <c r="H10" s="719">
        <f>tertiair!G16</f>
        <v>0</v>
      </c>
      <c r="I10" s="719">
        <f>tertiair!H16</f>
        <v>0</v>
      </c>
      <c r="J10" s="719">
        <f>tertiair!I16</f>
        <v>0</v>
      </c>
      <c r="K10" s="719">
        <f>tertiair!J16</f>
        <v>0</v>
      </c>
      <c r="L10" s="719">
        <f>tertiair!K16</f>
        <v>0</v>
      </c>
      <c r="M10" s="719">
        <f ca="1">tertiair!L16</f>
        <v>0</v>
      </c>
      <c r="N10" s="719">
        <f>tertiair!M16</f>
        <v>0</v>
      </c>
      <c r="O10" s="719">
        <f ca="1">tertiair!N16</f>
        <v>4249.5952134412491</v>
      </c>
      <c r="P10" s="719">
        <f>tertiair!O16</f>
        <v>0</v>
      </c>
      <c r="Q10" s="720">
        <f>tertiair!P16</f>
        <v>0</v>
      </c>
      <c r="R10" s="722">
        <f ca="1">SUM(C10:Q10)</f>
        <v>88074.59537935663</v>
      </c>
      <c r="S10" s="67"/>
    </row>
    <row r="11" spans="1:19" s="475" customFormat="1">
      <c r="A11" s="871" t="s">
        <v>225</v>
      </c>
      <c r="B11" s="876"/>
      <c r="C11" s="719">
        <f>huishoudens!B8</f>
        <v>54739.76968400606</v>
      </c>
      <c r="D11" s="719">
        <f>huishoudens!C8</f>
        <v>0</v>
      </c>
      <c r="E11" s="719">
        <f>huishoudens!D8</f>
        <v>116666.66356651051</v>
      </c>
      <c r="F11" s="719">
        <f>huishoudens!E8</f>
        <v>2901.5978746260962</v>
      </c>
      <c r="G11" s="719">
        <f>huishoudens!F8</f>
        <v>23343.813626578423</v>
      </c>
      <c r="H11" s="719">
        <f>huishoudens!G8</f>
        <v>0</v>
      </c>
      <c r="I11" s="719">
        <f>huishoudens!H8</f>
        <v>0</v>
      </c>
      <c r="J11" s="719">
        <f>huishoudens!I8</f>
        <v>0</v>
      </c>
      <c r="K11" s="719">
        <f>huishoudens!J8</f>
        <v>0</v>
      </c>
      <c r="L11" s="719">
        <f>huishoudens!K8</f>
        <v>0</v>
      </c>
      <c r="M11" s="719">
        <f>huishoudens!L8</f>
        <v>0</v>
      </c>
      <c r="N11" s="719">
        <f>huishoudens!M8</f>
        <v>0</v>
      </c>
      <c r="O11" s="719">
        <f>huishoudens!N8</f>
        <v>11120.675357814127</v>
      </c>
      <c r="P11" s="719">
        <f>huishoudens!O8</f>
        <v>128.19333333333336</v>
      </c>
      <c r="Q11" s="720">
        <f>huishoudens!P8</f>
        <v>419.4666666666667</v>
      </c>
      <c r="R11" s="722">
        <f>SUM(C11:Q11)</f>
        <v>209320.18010953523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27558.653399999999</v>
      </c>
      <c r="D13" s="719">
        <f>industrie!C18</f>
        <v>0</v>
      </c>
      <c r="E13" s="719">
        <f>industrie!D18</f>
        <v>15135.64507321002</v>
      </c>
      <c r="F13" s="719">
        <f>industrie!E18</f>
        <v>1664.735183076421</v>
      </c>
      <c r="G13" s="719">
        <f>industrie!F18</f>
        <v>12929.052355959337</v>
      </c>
      <c r="H13" s="719">
        <f>industrie!G18</f>
        <v>0</v>
      </c>
      <c r="I13" s="719">
        <f>industrie!H18</f>
        <v>0</v>
      </c>
      <c r="J13" s="719">
        <f>industrie!I18</f>
        <v>0</v>
      </c>
      <c r="K13" s="719">
        <f>industrie!J18</f>
        <v>156.01265585812678</v>
      </c>
      <c r="L13" s="719">
        <f>industrie!K18</f>
        <v>0</v>
      </c>
      <c r="M13" s="719">
        <f>industrie!L18</f>
        <v>0</v>
      </c>
      <c r="N13" s="719">
        <f>industrie!M18</f>
        <v>0</v>
      </c>
      <c r="O13" s="719">
        <f>industrie!N18</f>
        <v>7707.5806333198816</v>
      </c>
      <c r="P13" s="719">
        <f>industrie!O18</f>
        <v>0</v>
      </c>
      <c r="Q13" s="720">
        <f>industrie!P18</f>
        <v>0</v>
      </c>
      <c r="R13" s="722">
        <f>SUM(C13:Q13)</f>
        <v>65151.679301423777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126701.44848400606</v>
      </c>
      <c r="D15" s="724">
        <f t="shared" ref="D15:Q15" ca="1" si="0">SUM(D9:D14)</f>
        <v>0</v>
      </c>
      <c r="E15" s="724">
        <f t="shared" ca="1" si="0"/>
        <v>164450.21767766768</v>
      </c>
      <c r="F15" s="724">
        <f t="shared" si="0"/>
        <v>5019.1655195115882</v>
      </c>
      <c r="G15" s="724">
        <f t="shared" ca="1" si="0"/>
        <v>42594.099248696904</v>
      </c>
      <c r="H15" s="724">
        <f t="shared" si="0"/>
        <v>0</v>
      </c>
      <c r="I15" s="724">
        <f t="shared" si="0"/>
        <v>0</v>
      </c>
      <c r="J15" s="724">
        <f t="shared" si="0"/>
        <v>0</v>
      </c>
      <c r="K15" s="724">
        <f t="shared" si="0"/>
        <v>156.01265585812678</v>
      </c>
      <c r="L15" s="724">
        <f t="shared" si="0"/>
        <v>0</v>
      </c>
      <c r="M15" s="724">
        <f t="shared" ca="1" si="0"/>
        <v>0</v>
      </c>
      <c r="N15" s="724">
        <f t="shared" si="0"/>
        <v>0</v>
      </c>
      <c r="O15" s="724">
        <f t="shared" ca="1" si="0"/>
        <v>23077.851204575258</v>
      </c>
      <c r="P15" s="724">
        <f t="shared" si="0"/>
        <v>128.19333333333336</v>
      </c>
      <c r="Q15" s="725">
        <f t="shared" si="0"/>
        <v>419.4666666666667</v>
      </c>
      <c r="R15" s="726">
        <f ca="1">SUM(R9:R14)</f>
        <v>362546.45479031565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4444.4462830641378</v>
      </c>
      <c r="I18" s="719">
        <f>transport!H54</f>
        <v>0</v>
      </c>
      <c r="J18" s="719">
        <f>transport!I54</f>
        <v>0</v>
      </c>
      <c r="K18" s="719">
        <f>transport!J54</f>
        <v>0</v>
      </c>
      <c r="L18" s="719">
        <f>transport!K54</f>
        <v>0</v>
      </c>
      <c r="M18" s="719">
        <f>transport!L54</f>
        <v>0</v>
      </c>
      <c r="N18" s="719">
        <f>transport!M54</f>
        <v>253.45381526233868</v>
      </c>
      <c r="O18" s="719">
        <f>transport!N54</f>
        <v>0</v>
      </c>
      <c r="P18" s="719">
        <f>transport!O54</f>
        <v>0</v>
      </c>
      <c r="Q18" s="720">
        <f>transport!P54</f>
        <v>0</v>
      </c>
      <c r="R18" s="722">
        <f>SUM(C18:Q18)</f>
        <v>4697.9000983264768</v>
      </c>
      <c r="S18" s="67"/>
    </row>
    <row r="19" spans="1:19" s="475" customFormat="1" ht="15" thickBot="1">
      <c r="A19" s="871" t="s">
        <v>307</v>
      </c>
      <c r="B19" s="876"/>
      <c r="C19" s="728">
        <f>transport!B14</f>
        <v>38.301120363302921</v>
      </c>
      <c r="D19" s="728">
        <f>transport!C14</f>
        <v>0</v>
      </c>
      <c r="E19" s="728">
        <f>transport!D14</f>
        <v>111.17803212957706</v>
      </c>
      <c r="F19" s="728">
        <f>transport!E14</f>
        <v>754.66058207050719</v>
      </c>
      <c r="G19" s="728">
        <f>transport!F14</f>
        <v>0</v>
      </c>
      <c r="H19" s="728">
        <f>transport!G14</f>
        <v>189150.17786580342</v>
      </c>
      <c r="I19" s="728">
        <f>transport!H14</f>
        <v>42343.96043211822</v>
      </c>
      <c r="J19" s="728">
        <f>transport!I14</f>
        <v>0</v>
      </c>
      <c r="K19" s="728">
        <f>transport!J14</f>
        <v>0</v>
      </c>
      <c r="L19" s="728">
        <f>transport!K14</f>
        <v>0</v>
      </c>
      <c r="M19" s="728">
        <f>transport!L14</f>
        <v>0</v>
      </c>
      <c r="N19" s="728">
        <f>transport!M14</f>
        <v>12244.991917403277</v>
      </c>
      <c r="O19" s="728">
        <f>transport!N14</f>
        <v>0</v>
      </c>
      <c r="P19" s="728">
        <f>transport!O14</f>
        <v>0</v>
      </c>
      <c r="Q19" s="729">
        <f>transport!P14</f>
        <v>0</v>
      </c>
      <c r="R19" s="730">
        <f>SUM(C19:Q19)</f>
        <v>244643.26994988829</v>
      </c>
      <c r="S19" s="67"/>
    </row>
    <row r="20" spans="1:19" s="475" customFormat="1" ht="15.75" thickBot="1">
      <c r="A20" s="731" t="s">
        <v>230</v>
      </c>
      <c r="B20" s="879"/>
      <c r="C20" s="874">
        <f>SUM(C17:C19)</f>
        <v>38.301120363302921</v>
      </c>
      <c r="D20" s="732">
        <f t="shared" ref="D20:R20" si="1">SUM(D17:D19)</f>
        <v>0</v>
      </c>
      <c r="E20" s="732">
        <f t="shared" si="1"/>
        <v>111.17803212957706</v>
      </c>
      <c r="F20" s="732">
        <f t="shared" si="1"/>
        <v>754.66058207050719</v>
      </c>
      <c r="G20" s="732">
        <f t="shared" si="1"/>
        <v>0</v>
      </c>
      <c r="H20" s="732">
        <f t="shared" si="1"/>
        <v>193594.62414886756</v>
      </c>
      <c r="I20" s="732">
        <f t="shared" si="1"/>
        <v>42343.96043211822</v>
      </c>
      <c r="J20" s="732">
        <f t="shared" si="1"/>
        <v>0</v>
      </c>
      <c r="K20" s="732">
        <f t="shared" si="1"/>
        <v>0</v>
      </c>
      <c r="L20" s="732">
        <f t="shared" si="1"/>
        <v>0</v>
      </c>
      <c r="M20" s="732">
        <f t="shared" si="1"/>
        <v>0</v>
      </c>
      <c r="N20" s="732">
        <f t="shared" si="1"/>
        <v>12498.445732665616</v>
      </c>
      <c r="O20" s="732">
        <f t="shared" si="1"/>
        <v>0</v>
      </c>
      <c r="P20" s="732">
        <f t="shared" si="1"/>
        <v>0</v>
      </c>
      <c r="Q20" s="733">
        <f t="shared" si="1"/>
        <v>0</v>
      </c>
      <c r="R20" s="734">
        <f t="shared" si="1"/>
        <v>249341.17004821476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756.34669999999994</v>
      </c>
      <c r="D22" s="728">
        <f>+landbouw!C8</f>
        <v>0</v>
      </c>
      <c r="E22" s="728">
        <f>+landbouw!D8</f>
        <v>11882.682334861614</v>
      </c>
      <c r="F22" s="728">
        <f>+landbouw!E8</f>
        <v>7.0055999225176411</v>
      </c>
      <c r="G22" s="728">
        <f>+landbouw!F8</f>
        <v>1918.9956617984885</v>
      </c>
      <c r="H22" s="728">
        <f>+landbouw!G8</f>
        <v>0</v>
      </c>
      <c r="I22" s="728">
        <f>+landbouw!H8</f>
        <v>0</v>
      </c>
      <c r="J22" s="728">
        <f>+landbouw!I8</f>
        <v>0</v>
      </c>
      <c r="K22" s="728">
        <f>+landbouw!J8</f>
        <v>115.95638996380745</v>
      </c>
      <c r="L22" s="728">
        <f>+landbouw!K8</f>
        <v>0</v>
      </c>
      <c r="M22" s="728">
        <f>+landbouw!L8</f>
        <v>0</v>
      </c>
      <c r="N22" s="728">
        <f>+landbouw!M8</f>
        <v>0</v>
      </c>
      <c r="O22" s="728">
        <f>+landbouw!N8</f>
        <v>0</v>
      </c>
      <c r="P22" s="728">
        <f>+landbouw!O8</f>
        <v>0</v>
      </c>
      <c r="Q22" s="729">
        <f>+landbouw!P8</f>
        <v>0</v>
      </c>
      <c r="R22" s="730">
        <f>SUM(C22:Q22)</f>
        <v>14680.986686546426</v>
      </c>
      <c r="S22" s="67"/>
    </row>
    <row r="23" spans="1:19" s="475" customFormat="1" ht="17.25" thickTop="1" thickBot="1">
      <c r="A23" s="735" t="s">
        <v>116</v>
      </c>
      <c r="B23" s="865"/>
      <c r="C23" s="736">
        <f ca="1">C20+C15+C22</f>
        <v>127496.09630436936</v>
      </c>
      <c r="D23" s="736">
        <f t="shared" ref="D23:Q23" ca="1" si="2">D20+D15+D22</f>
        <v>0</v>
      </c>
      <c r="E23" s="736">
        <f t="shared" ca="1" si="2"/>
        <v>176444.07804465885</v>
      </c>
      <c r="F23" s="736">
        <f t="shared" si="2"/>
        <v>5780.8317015046132</v>
      </c>
      <c r="G23" s="736">
        <f t="shared" ca="1" si="2"/>
        <v>44513.094910495391</v>
      </c>
      <c r="H23" s="736">
        <f t="shared" si="2"/>
        <v>193594.62414886756</v>
      </c>
      <c r="I23" s="736">
        <f t="shared" si="2"/>
        <v>42343.96043211822</v>
      </c>
      <c r="J23" s="736">
        <f t="shared" si="2"/>
        <v>0</v>
      </c>
      <c r="K23" s="736">
        <f t="shared" si="2"/>
        <v>271.96904582193423</v>
      </c>
      <c r="L23" s="736">
        <f t="shared" si="2"/>
        <v>0</v>
      </c>
      <c r="M23" s="736">
        <f t="shared" ca="1" si="2"/>
        <v>0</v>
      </c>
      <c r="N23" s="736">
        <f t="shared" si="2"/>
        <v>12498.445732665616</v>
      </c>
      <c r="O23" s="736">
        <f t="shared" ca="1" si="2"/>
        <v>23077.851204575258</v>
      </c>
      <c r="P23" s="736">
        <f t="shared" si="2"/>
        <v>128.19333333333336</v>
      </c>
      <c r="Q23" s="737">
        <f t="shared" si="2"/>
        <v>419.4666666666667</v>
      </c>
      <c r="R23" s="738">
        <f ca="1">R20+R15+R22</f>
        <v>626568.61152507691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9478.8350310972455</v>
      </c>
      <c r="D36" s="719">
        <f ca="1">tertiair!C20</f>
        <v>0</v>
      </c>
      <c r="E36" s="719">
        <f ca="1">tertiair!D20</f>
        <v>6594.8776256653264</v>
      </c>
      <c r="F36" s="719">
        <f>tertiair!E20</f>
        <v>102.79296883065916</v>
      </c>
      <c r="G36" s="719">
        <f ca="1">tertiair!F20</f>
        <v>1687.7692820644922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17864.274907657724</v>
      </c>
    </row>
    <row r="37" spans="1:18">
      <c r="A37" s="886" t="s">
        <v>225</v>
      </c>
      <c r="B37" s="893"/>
      <c r="C37" s="719">
        <f ca="1">huishoudens!B12</f>
        <v>11685.448047757385</v>
      </c>
      <c r="D37" s="719">
        <f ca="1">huishoudens!C12</f>
        <v>0</v>
      </c>
      <c r="E37" s="719">
        <f>huishoudens!D12</f>
        <v>23566.666040435124</v>
      </c>
      <c r="F37" s="719">
        <f>huishoudens!E12</f>
        <v>658.66271754012382</v>
      </c>
      <c r="G37" s="719">
        <f>huishoudens!F12</f>
        <v>6232.7982382964392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42143.575044029072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5883.0209632019169</v>
      </c>
      <c r="D39" s="719">
        <f ca="1">industrie!C22</f>
        <v>0</v>
      </c>
      <c r="E39" s="719">
        <f>industrie!D22</f>
        <v>3057.4003047884244</v>
      </c>
      <c r="F39" s="719">
        <f>industrie!E22</f>
        <v>377.89488655834759</v>
      </c>
      <c r="G39" s="719">
        <f>industrie!F22</f>
        <v>3452.0569790411432</v>
      </c>
      <c r="H39" s="719">
        <f>industrie!G22</f>
        <v>0</v>
      </c>
      <c r="I39" s="719">
        <f>industrie!H22</f>
        <v>0</v>
      </c>
      <c r="J39" s="719">
        <f>industrie!I22</f>
        <v>0</v>
      </c>
      <c r="K39" s="719">
        <f>industrie!J22</f>
        <v>55.228480173776873</v>
      </c>
      <c r="L39" s="719">
        <f>industrie!K22</f>
        <v>0</v>
      </c>
      <c r="M39" s="719">
        <f>industrie!L22</f>
        <v>0</v>
      </c>
      <c r="N39" s="719">
        <f>industrie!M22</f>
        <v>0</v>
      </c>
      <c r="O39" s="719">
        <f>industrie!N22</f>
        <v>0</v>
      </c>
      <c r="P39" s="719">
        <f>industrie!O22</f>
        <v>0</v>
      </c>
      <c r="Q39" s="829">
        <f>industrie!P22</f>
        <v>0</v>
      </c>
      <c r="R39" s="919">
        <f ca="1">SUM(C39:Q39)</f>
        <v>12825.601613763609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27047.304042056548</v>
      </c>
      <c r="D41" s="764">
        <f t="shared" ref="D41:R41" ca="1" si="4">SUM(D35:D40)</f>
        <v>0</v>
      </c>
      <c r="E41" s="764">
        <f t="shared" ca="1" si="4"/>
        <v>33218.943970888875</v>
      </c>
      <c r="F41" s="764">
        <f t="shared" si="4"/>
        <v>1139.3505729291305</v>
      </c>
      <c r="G41" s="764">
        <f t="shared" ca="1" si="4"/>
        <v>11372.624499402074</v>
      </c>
      <c r="H41" s="764">
        <f t="shared" si="4"/>
        <v>0</v>
      </c>
      <c r="I41" s="764">
        <f t="shared" si="4"/>
        <v>0</v>
      </c>
      <c r="J41" s="764">
        <f t="shared" si="4"/>
        <v>0</v>
      </c>
      <c r="K41" s="764">
        <f t="shared" si="4"/>
        <v>55.228480173776873</v>
      </c>
      <c r="L41" s="764">
        <f t="shared" si="4"/>
        <v>0</v>
      </c>
      <c r="M41" s="764">
        <f t="shared" ca="1" si="4"/>
        <v>0</v>
      </c>
      <c r="N41" s="764">
        <f t="shared" si="4"/>
        <v>0</v>
      </c>
      <c r="O41" s="764">
        <f t="shared" ca="1" si="4"/>
        <v>0</v>
      </c>
      <c r="P41" s="764">
        <f t="shared" si="4"/>
        <v>0</v>
      </c>
      <c r="Q41" s="765">
        <f t="shared" si="4"/>
        <v>0</v>
      </c>
      <c r="R41" s="766">
        <f t="shared" ca="1" si="4"/>
        <v>72833.451565450407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1186.6671575781249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1186.6671575781249</v>
      </c>
    </row>
    <row r="45" spans="1:18" ht="15" thickBot="1">
      <c r="A45" s="889" t="s">
        <v>307</v>
      </c>
      <c r="B45" s="899"/>
      <c r="C45" s="728">
        <f ca="1">transport!B18</f>
        <v>8.1762447076398495</v>
      </c>
      <c r="D45" s="728">
        <f>transport!C18</f>
        <v>0</v>
      </c>
      <c r="E45" s="728">
        <f>transport!D18</f>
        <v>22.45796249017457</v>
      </c>
      <c r="F45" s="728">
        <f>transport!E18</f>
        <v>171.30795213000513</v>
      </c>
      <c r="G45" s="728">
        <f>transport!F18</f>
        <v>0</v>
      </c>
      <c r="H45" s="728">
        <f>transport!G18</f>
        <v>50503.097490169515</v>
      </c>
      <c r="I45" s="728">
        <f>transport!H18</f>
        <v>10543.646147597437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61248.685797094768</v>
      </c>
    </row>
    <row r="46" spans="1:18" ht="15.75" thickBot="1">
      <c r="A46" s="887" t="s">
        <v>230</v>
      </c>
      <c r="B46" s="900"/>
      <c r="C46" s="764">
        <f t="shared" ref="C46:R46" ca="1" si="5">SUM(C43:C45)</f>
        <v>8.1762447076398495</v>
      </c>
      <c r="D46" s="764">
        <f t="shared" ca="1" si="5"/>
        <v>0</v>
      </c>
      <c r="E46" s="764">
        <f t="shared" si="5"/>
        <v>22.45796249017457</v>
      </c>
      <c r="F46" s="764">
        <f t="shared" si="5"/>
        <v>171.30795213000513</v>
      </c>
      <c r="G46" s="764">
        <f t="shared" si="5"/>
        <v>0</v>
      </c>
      <c r="H46" s="764">
        <f t="shared" si="5"/>
        <v>51689.764647747637</v>
      </c>
      <c r="I46" s="764">
        <f t="shared" si="5"/>
        <v>10543.646147597437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62435.35295467289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161.45939451267205</v>
      </c>
      <c r="D48" s="719">
        <f ca="1">+landbouw!C12</f>
        <v>0</v>
      </c>
      <c r="E48" s="719">
        <f>+landbouw!D12</f>
        <v>2400.3018316420462</v>
      </c>
      <c r="F48" s="719">
        <f>+landbouw!E12</f>
        <v>1.5902711824115046</v>
      </c>
      <c r="G48" s="719">
        <f>+landbouw!F12</f>
        <v>512.37184170019646</v>
      </c>
      <c r="H48" s="719">
        <f>+landbouw!G12</f>
        <v>0</v>
      </c>
      <c r="I48" s="719">
        <f>+landbouw!H12</f>
        <v>0</v>
      </c>
      <c r="J48" s="719">
        <f>+landbouw!I12</f>
        <v>0</v>
      </c>
      <c r="K48" s="719">
        <f>+landbouw!J12</f>
        <v>41.048562047187836</v>
      </c>
      <c r="L48" s="719">
        <f>+landbouw!K12</f>
        <v>0</v>
      </c>
      <c r="M48" s="719">
        <f>+landbouw!L12</f>
        <v>0</v>
      </c>
      <c r="N48" s="719">
        <f>+landbouw!M12</f>
        <v>0</v>
      </c>
      <c r="O48" s="719">
        <f>+landbouw!N12</f>
        <v>0</v>
      </c>
      <c r="P48" s="719">
        <f>+landbouw!O12</f>
        <v>0</v>
      </c>
      <c r="Q48" s="720">
        <f>+landbouw!P12</f>
        <v>0</v>
      </c>
      <c r="R48" s="762">
        <f ca="1">SUM(C48:Q48)</f>
        <v>3116.771901084514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27216.939681276861</v>
      </c>
      <c r="D53" s="774">
        <f t="shared" ref="D53:Q53" ca="1" si="6">D41+D46+D48</f>
        <v>0</v>
      </c>
      <c r="E53" s="774">
        <f t="shared" ca="1" si="6"/>
        <v>35641.703765021099</v>
      </c>
      <c r="F53" s="774">
        <f t="shared" si="6"/>
        <v>1312.2487962415471</v>
      </c>
      <c r="G53" s="774">
        <f t="shared" ca="1" si="6"/>
        <v>11884.996341102271</v>
      </c>
      <c r="H53" s="774">
        <f t="shared" si="6"/>
        <v>51689.764647747637</v>
      </c>
      <c r="I53" s="774">
        <f t="shared" si="6"/>
        <v>10543.646147597437</v>
      </c>
      <c r="J53" s="774">
        <f t="shared" si="6"/>
        <v>0</v>
      </c>
      <c r="K53" s="774">
        <f t="shared" si="6"/>
        <v>96.277042220964717</v>
      </c>
      <c r="L53" s="774">
        <f t="shared" si="6"/>
        <v>0</v>
      </c>
      <c r="M53" s="774">
        <f t="shared" ca="1" si="6"/>
        <v>0</v>
      </c>
      <c r="N53" s="774">
        <f t="shared" si="6"/>
        <v>0</v>
      </c>
      <c r="O53" s="774">
        <f t="shared" ca="1" si="6"/>
        <v>0</v>
      </c>
      <c r="P53" s="774">
        <f>P41+P46+P48</f>
        <v>0</v>
      </c>
      <c r="Q53" s="775">
        <f t="shared" si="6"/>
        <v>0</v>
      </c>
      <c r="R53" s="776">
        <f ca="1">R41+R46+R48</f>
        <v>138385.57642120781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0.21347272952030077</v>
      </c>
      <c r="D55" s="837">
        <f t="shared" ca="1" si="7"/>
        <v>0</v>
      </c>
      <c r="E55" s="837">
        <f t="shared" ca="1" si="7"/>
        <v>0.20200000000000007</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4342.5230859220301</v>
      </c>
      <c r="C66" s="796">
        <f>'lokale energieproductie'!B6</f>
        <v>4342.5230859220301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4342.5230859220301</v>
      </c>
      <c r="C69" s="804">
        <f>SUM(C64:C68)</f>
        <v>4342.5230859220301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54739.76968400606</v>
      </c>
      <c r="C4" s="479">
        <f>huishoudens!C8</f>
        <v>0</v>
      </c>
      <c r="D4" s="479">
        <f>huishoudens!D8</f>
        <v>116666.66356651051</v>
      </c>
      <c r="E4" s="479">
        <f>huishoudens!E8</f>
        <v>2901.5978746260962</v>
      </c>
      <c r="F4" s="479">
        <f>huishoudens!F8</f>
        <v>23343.813626578423</v>
      </c>
      <c r="G4" s="479">
        <f>huishoudens!G8</f>
        <v>0</v>
      </c>
      <c r="H4" s="479">
        <f>huishoudens!H8</f>
        <v>0</v>
      </c>
      <c r="I4" s="479">
        <f>huishoudens!I8</f>
        <v>0</v>
      </c>
      <c r="J4" s="479">
        <f>huishoudens!J8</f>
        <v>0</v>
      </c>
      <c r="K4" s="479">
        <f>huishoudens!K8</f>
        <v>0</v>
      </c>
      <c r="L4" s="479">
        <f>huishoudens!L8</f>
        <v>0</v>
      </c>
      <c r="M4" s="479">
        <f>huishoudens!M8</f>
        <v>0</v>
      </c>
      <c r="N4" s="479">
        <f>huishoudens!N8</f>
        <v>11120.675357814127</v>
      </c>
      <c r="O4" s="479">
        <f>huishoudens!O8</f>
        <v>128.19333333333336</v>
      </c>
      <c r="P4" s="480">
        <f>huishoudens!P8</f>
        <v>419.4666666666667</v>
      </c>
      <c r="Q4" s="481">
        <f>SUM(B4:P4)</f>
        <v>209320.18010953523</v>
      </c>
    </row>
    <row r="5" spans="1:17">
      <c r="A5" s="478" t="s">
        <v>156</v>
      </c>
      <c r="B5" s="479">
        <f ca="1">tertiair!B16</f>
        <v>42614.234400000001</v>
      </c>
      <c r="C5" s="479">
        <f ca="1">tertiair!C16</f>
        <v>0</v>
      </c>
      <c r="D5" s="479">
        <f ca="1">tertiair!D16</f>
        <v>32647.909037947156</v>
      </c>
      <c r="E5" s="479">
        <f>tertiair!E16</f>
        <v>452.83246180907116</v>
      </c>
      <c r="F5" s="479">
        <f ca="1">tertiair!F16</f>
        <v>6321.2332661591463</v>
      </c>
      <c r="G5" s="479">
        <f>tertiair!G16</f>
        <v>0</v>
      </c>
      <c r="H5" s="479">
        <f>tertiair!H16</f>
        <v>0</v>
      </c>
      <c r="I5" s="479">
        <f>tertiair!I16</f>
        <v>0</v>
      </c>
      <c r="J5" s="479">
        <f>tertiair!J16</f>
        <v>0</v>
      </c>
      <c r="K5" s="479">
        <f>tertiair!K16</f>
        <v>0</v>
      </c>
      <c r="L5" s="479">
        <f ca="1">tertiair!L16</f>
        <v>0</v>
      </c>
      <c r="M5" s="479">
        <f>tertiair!M16</f>
        <v>0</v>
      </c>
      <c r="N5" s="479">
        <f ca="1">tertiair!N16</f>
        <v>4249.5952134412491</v>
      </c>
      <c r="O5" s="479">
        <f>tertiair!O16</f>
        <v>0</v>
      </c>
      <c r="P5" s="480">
        <f>tertiair!P16</f>
        <v>0</v>
      </c>
      <c r="Q5" s="478">
        <f t="shared" ref="Q5:Q13" ca="1" si="0">SUM(B5:P5)</f>
        <v>86285.804379356632</v>
      </c>
    </row>
    <row r="6" spans="1:17">
      <c r="A6" s="478" t="s">
        <v>194</v>
      </c>
      <c r="B6" s="479">
        <f>'openbare verlichting'!B8</f>
        <v>1788.7909999999999</v>
      </c>
      <c r="C6" s="479"/>
      <c r="D6" s="479"/>
      <c r="E6" s="479"/>
      <c r="F6" s="479"/>
      <c r="G6" s="479"/>
      <c r="H6" s="479"/>
      <c r="I6" s="479"/>
      <c r="J6" s="479"/>
      <c r="K6" s="479"/>
      <c r="L6" s="479"/>
      <c r="M6" s="479"/>
      <c r="N6" s="479"/>
      <c r="O6" s="479"/>
      <c r="P6" s="480"/>
      <c r="Q6" s="478">
        <f t="shared" si="0"/>
        <v>1788.7909999999999</v>
      </c>
    </row>
    <row r="7" spans="1:17">
      <c r="A7" s="478" t="s">
        <v>112</v>
      </c>
      <c r="B7" s="479">
        <f>landbouw!B8</f>
        <v>756.34669999999994</v>
      </c>
      <c r="C7" s="479">
        <f>landbouw!C8</f>
        <v>0</v>
      </c>
      <c r="D7" s="479">
        <f>landbouw!D8</f>
        <v>11882.682334861614</v>
      </c>
      <c r="E7" s="479">
        <f>landbouw!E8</f>
        <v>7.0055999225176411</v>
      </c>
      <c r="F7" s="479">
        <f>landbouw!F8</f>
        <v>1918.9956617984885</v>
      </c>
      <c r="G7" s="479">
        <f>landbouw!G8</f>
        <v>0</v>
      </c>
      <c r="H7" s="479">
        <f>landbouw!H8</f>
        <v>0</v>
      </c>
      <c r="I7" s="479">
        <f>landbouw!I8</f>
        <v>0</v>
      </c>
      <c r="J7" s="479">
        <f>landbouw!J8</f>
        <v>115.95638996380745</v>
      </c>
      <c r="K7" s="479">
        <f>landbouw!K8</f>
        <v>0</v>
      </c>
      <c r="L7" s="479">
        <f>landbouw!L8</f>
        <v>0</v>
      </c>
      <c r="M7" s="479">
        <f>landbouw!M8</f>
        <v>0</v>
      </c>
      <c r="N7" s="479">
        <f>landbouw!N8</f>
        <v>0</v>
      </c>
      <c r="O7" s="479">
        <f>landbouw!O8</f>
        <v>0</v>
      </c>
      <c r="P7" s="480">
        <f>landbouw!P8</f>
        <v>0</v>
      </c>
      <c r="Q7" s="478">
        <f t="shared" si="0"/>
        <v>14680.986686546426</v>
      </c>
    </row>
    <row r="8" spans="1:17">
      <c r="A8" s="478" t="s">
        <v>650</v>
      </c>
      <c r="B8" s="479">
        <f>industrie!B18</f>
        <v>27558.653399999999</v>
      </c>
      <c r="C8" s="479">
        <f>industrie!C18</f>
        <v>0</v>
      </c>
      <c r="D8" s="479">
        <f>industrie!D18</f>
        <v>15135.64507321002</v>
      </c>
      <c r="E8" s="479">
        <f>industrie!E18</f>
        <v>1664.735183076421</v>
      </c>
      <c r="F8" s="479">
        <f>industrie!F18</f>
        <v>12929.052355959337</v>
      </c>
      <c r="G8" s="479">
        <f>industrie!G18</f>
        <v>0</v>
      </c>
      <c r="H8" s="479">
        <f>industrie!H18</f>
        <v>0</v>
      </c>
      <c r="I8" s="479">
        <f>industrie!I18</f>
        <v>0</v>
      </c>
      <c r="J8" s="479">
        <f>industrie!J18</f>
        <v>156.01265585812678</v>
      </c>
      <c r="K8" s="479">
        <f>industrie!K18</f>
        <v>0</v>
      </c>
      <c r="L8" s="479">
        <f>industrie!L18</f>
        <v>0</v>
      </c>
      <c r="M8" s="479">
        <f>industrie!M18</f>
        <v>0</v>
      </c>
      <c r="N8" s="479">
        <f>industrie!N18</f>
        <v>7707.5806333198816</v>
      </c>
      <c r="O8" s="479">
        <f>industrie!O18</f>
        <v>0</v>
      </c>
      <c r="P8" s="480">
        <f>industrie!P18</f>
        <v>0</v>
      </c>
      <c r="Q8" s="478">
        <f t="shared" si="0"/>
        <v>65151.679301423777</v>
      </c>
    </row>
    <row r="9" spans="1:17" s="484" customFormat="1">
      <c r="A9" s="482" t="s">
        <v>571</v>
      </c>
      <c r="B9" s="483">
        <f>transport!B14</f>
        <v>38.301120363302921</v>
      </c>
      <c r="C9" s="483">
        <f>transport!C14</f>
        <v>0</v>
      </c>
      <c r="D9" s="483">
        <f>transport!D14</f>
        <v>111.17803212957706</v>
      </c>
      <c r="E9" s="483">
        <f>transport!E14</f>
        <v>754.66058207050719</v>
      </c>
      <c r="F9" s="483">
        <f>transport!F14</f>
        <v>0</v>
      </c>
      <c r="G9" s="483">
        <f>transport!G14</f>
        <v>189150.17786580342</v>
      </c>
      <c r="H9" s="483">
        <f>transport!H14</f>
        <v>42343.96043211822</v>
      </c>
      <c r="I9" s="483">
        <f>transport!I14</f>
        <v>0</v>
      </c>
      <c r="J9" s="483">
        <f>transport!J14</f>
        <v>0</v>
      </c>
      <c r="K9" s="483">
        <f>transport!K14</f>
        <v>0</v>
      </c>
      <c r="L9" s="483">
        <f>transport!L14</f>
        <v>0</v>
      </c>
      <c r="M9" s="483">
        <f>transport!M14</f>
        <v>12244.991917403277</v>
      </c>
      <c r="N9" s="483">
        <f>transport!N14</f>
        <v>0</v>
      </c>
      <c r="O9" s="483">
        <f>transport!O14</f>
        <v>0</v>
      </c>
      <c r="P9" s="483">
        <f>transport!P14</f>
        <v>0</v>
      </c>
      <c r="Q9" s="482">
        <f>SUM(B9:P9)</f>
        <v>244643.26994988829</v>
      </c>
    </row>
    <row r="10" spans="1:17">
      <c r="A10" s="478" t="s">
        <v>561</v>
      </c>
      <c r="B10" s="479">
        <f>transport!B54</f>
        <v>0</v>
      </c>
      <c r="C10" s="479">
        <f>transport!C54</f>
        <v>0</v>
      </c>
      <c r="D10" s="479">
        <f>transport!D54</f>
        <v>0</v>
      </c>
      <c r="E10" s="479">
        <f>transport!E54</f>
        <v>0</v>
      </c>
      <c r="F10" s="479">
        <f>transport!F54</f>
        <v>0</v>
      </c>
      <c r="G10" s="479">
        <f>transport!G54</f>
        <v>4444.4462830641378</v>
      </c>
      <c r="H10" s="479">
        <f>transport!H54</f>
        <v>0</v>
      </c>
      <c r="I10" s="479">
        <f>transport!I54</f>
        <v>0</v>
      </c>
      <c r="J10" s="479">
        <f>transport!J54</f>
        <v>0</v>
      </c>
      <c r="K10" s="479">
        <f>transport!K54</f>
        <v>0</v>
      </c>
      <c r="L10" s="479">
        <f>transport!L54</f>
        <v>0</v>
      </c>
      <c r="M10" s="479">
        <f>transport!M54</f>
        <v>253.45381526233868</v>
      </c>
      <c r="N10" s="479">
        <f>transport!N54</f>
        <v>0</v>
      </c>
      <c r="O10" s="479">
        <f>transport!O54</f>
        <v>0</v>
      </c>
      <c r="P10" s="480">
        <f>transport!P54</f>
        <v>0</v>
      </c>
      <c r="Q10" s="478">
        <f t="shared" si="0"/>
        <v>4697.9000983264768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127496.09630436936</v>
      </c>
      <c r="C14" s="489">
        <f t="shared" ref="C14:Q14" ca="1" si="1">SUM(C4:C13)</f>
        <v>0</v>
      </c>
      <c r="D14" s="489">
        <f t="shared" ca="1" si="1"/>
        <v>176444.07804465885</v>
      </c>
      <c r="E14" s="489">
        <f t="shared" si="1"/>
        <v>5780.8317015046132</v>
      </c>
      <c r="F14" s="489">
        <f t="shared" ca="1" si="1"/>
        <v>44513.094910495398</v>
      </c>
      <c r="G14" s="489">
        <f t="shared" si="1"/>
        <v>193594.62414886756</v>
      </c>
      <c r="H14" s="489">
        <f t="shared" si="1"/>
        <v>42343.96043211822</v>
      </c>
      <c r="I14" s="489">
        <f t="shared" si="1"/>
        <v>0</v>
      </c>
      <c r="J14" s="489">
        <f t="shared" si="1"/>
        <v>271.96904582193423</v>
      </c>
      <c r="K14" s="489">
        <f t="shared" si="1"/>
        <v>0</v>
      </c>
      <c r="L14" s="489">
        <f t="shared" ca="1" si="1"/>
        <v>0</v>
      </c>
      <c r="M14" s="489">
        <f t="shared" si="1"/>
        <v>12498.445732665616</v>
      </c>
      <c r="N14" s="489">
        <f t="shared" ca="1" si="1"/>
        <v>23077.851204575258</v>
      </c>
      <c r="O14" s="489">
        <f t="shared" si="1"/>
        <v>128.19333333333336</v>
      </c>
      <c r="P14" s="490">
        <f t="shared" si="1"/>
        <v>419.4666666666667</v>
      </c>
      <c r="Q14" s="490">
        <f t="shared" ca="1" si="1"/>
        <v>626568.61152507679</v>
      </c>
    </row>
    <row r="16" spans="1:17">
      <c r="A16" s="492" t="s">
        <v>566</v>
      </c>
      <c r="B16" s="842">
        <f ca="1">huishoudens!B10</f>
        <v>0.21347272952030077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11685.448047757385</v>
      </c>
      <c r="C21" s="479">
        <f t="shared" ref="C21:C30" ca="1" si="3">C4*$C$16</f>
        <v>0</v>
      </c>
      <c r="D21" s="479">
        <f t="shared" ref="D21:D30" si="4">D4*$D$16</f>
        <v>23566.666040435124</v>
      </c>
      <c r="E21" s="479">
        <f t="shared" ref="E21:E30" si="5">E4*$E$16</f>
        <v>658.66271754012382</v>
      </c>
      <c r="F21" s="479">
        <f t="shared" ref="F21:F30" si="6">F4*$F$16</f>
        <v>6232.7982382964392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42143.575044029072</v>
      </c>
    </row>
    <row r="22" spans="1:17">
      <c r="A22" s="478" t="s">
        <v>156</v>
      </c>
      <c r="B22" s="479">
        <f t="shared" ca="1" si="2"/>
        <v>9096.9769337858979</v>
      </c>
      <c r="C22" s="479">
        <f t="shared" ca="1" si="3"/>
        <v>0</v>
      </c>
      <c r="D22" s="479">
        <f t="shared" ca="1" si="4"/>
        <v>6594.8776256653264</v>
      </c>
      <c r="E22" s="479">
        <f t="shared" si="5"/>
        <v>102.79296883065916</v>
      </c>
      <c r="F22" s="479">
        <f t="shared" ca="1" si="6"/>
        <v>1687.7692820644922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17482.416810346378</v>
      </c>
    </row>
    <row r="23" spans="1:17">
      <c r="A23" s="478" t="s">
        <v>194</v>
      </c>
      <c r="B23" s="479">
        <f t="shared" ca="1" si="2"/>
        <v>381.85809731134833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381.85809731134833</v>
      </c>
    </row>
    <row r="24" spans="1:17">
      <c r="A24" s="478" t="s">
        <v>112</v>
      </c>
      <c r="B24" s="479">
        <f t="shared" ca="1" si="2"/>
        <v>161.45939451267205</v>
      </c>
      <c r="C24" s="479">
        <f t="shared" ca="1" si="3"/>
        <v>0</v>
      </c>
      <c r="D24" s="479">
        <f t="shared" si="4"/>
        <v>2400.3018316420462</v>
      </c>
      <c r="E24" s="479">
        <f t="shared" si="5"/>
        <v>1.5902711824115046</v>
      </c>
      <c r="F24" s="479">
        <f t="shared" si="6"/>
        <v>512.37184170019646</v>
      </c>
      <c r="G24" s="479">
        <f t="shared" si="7"/>
        <v>0</v>
      </c>
      <c r="H24" s="479">
        <f t="shared" si="8"/>
        <v>0</v>
      </c>
      <c r="I24" s="479">
        <f t="shared" si="9"/>
        <v>0</v>
      </c>
      <c r="J24" s="479">
        <f t="shared" si="10"/>
        <v>41.048562047187836</v>
      </c>
      <c r="K24" s="479">
        <f t="shared" si="11"/>
        <v>0</v>
      </c>
      <c r="L24" s="479">
        <f t="shared" si="12"/>
        <v>0</v>
      </c>
      <c r="M24" s="479">
        <f t="shared" si="13"/>
        <v>0</v>
      </c>
      <c r="N24" s="479">
        <f t="shared" si="14"/>
        <v>0</v>
      </c>
      <c r="O24" s="479">
        <f t="shared" si="15"/>
        <v>0</v>
      </c>
      <c r="P24" s="480">
        <f t="shared" si="16"/>
        <v>0</v>
      </c>
      <c r="Q24" s="478">
        <f t="shared" ca="1" si="17"/>
        <v>3116.771901084514</v>
      </c>
    </row>
    <row r="25" spans="1:17">
      <c r="A25" s="478" t="s">
        <v>650</v>
      </c>
      <c r="B25" s="479">
        <f t="shared" ca="1" si="2"/>
        <v>5883.0209632019169</v>
      </c>
      <c r="C25" s="479">
        <f t="shared" ca="1" si="3"/>
        <v>0</v>
      </c>
      <c r="D25" s="479">
        <f t="shared" si="4"/>
        <v>3057.4003047884244</v>
      </c>
      <c r="E25" s="479">
        <f t="shared" si="5"/>
        <v>377.89488655834759</v>
      </c>
      <c r="F25" s="479">
        <f t="shared" si="6"/>
        <v>3452.0569790411432</v>
      </c>
      <c r="G25" s="479">
        <f t="shared" si="7"/>
        <v>0</v>
      </c>
      <c r="H25" s="479">
        <f t="shared" si="8"/>
        <v>0</v>
      </c>
      <c r="I25" s="479">
        <f t="shared" si="9"/>
        <v>0</v>
      </c>
      <c r="J25" s="479">
        <f t="shared" si="10"/>
        <v>55.228480173776873</v>
      </c>
      <c r="K25" s="479">
        <f t="shared" si="11"/>
        <v>0</v>
      </c>
      <c r="L25" s="479">
        <f t="shared" si="12"/>
        <v>0</v>
      </c>
      <c r="M25" s="479">
        <f t="shared" si="13"/>
        <v>0</v>
      </c>
      <c r="N25" s="479">
        <f t="shared" si="14"/>
        <v>0</v>
      </c>
      <c r="O25" s="479">
        <f t="shared" si="15"/>
        <v>0</v>
      </c>
      <c r="P25" s="480">
        <f t="shared" si="16"/>
        <v>0</v>
      </c>
      <c r="Q25" s="478">
        <f t="shared" ca="1" si="17"/>
        <v>12825.601613763609</v>
      </c>
    </row>
    <row r="26" spans="1:17" s="484" customFormat="1">
      <c r="A26" s="482" t="s">
        <v>571</v>
      </c>
      <c r="B26" s="836">
        <f t="shared" ca="1" si="2"/>
        <v>8.1762447076398495</v>
      </c>
      <c r="C26" s="483">
        <f t="shared" ca="1" si="3"/>
        <v>0</v>
      </c>
      <c r="D26" s="483">
        <f t="shared" si="4"/>
        <v>22.45796249017457</v>
      </c>
      <c r="E26" s="483">
        <f t="shared" si="5"/>
        <v>171.30795213000513</v>
      </c>
      <c r="F26" s="483">
        <f t="shared" si="6"/>
        <v>0</v>
      </c>
      <c r="G26" s="483">
        <f t="shared" si="7"/>
        <v>50503.097490169515</v>
      </c>
      <c r="H26" s="483">
        <f t="shared" si="8"/>
        <v>10543.646147597437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61248.685797094768</v>
      </c>
    </row>
    <row r="27" spans="1:17">
      <c r="A27" s="478" t="s">
        <v>561</v>
      </c>
      <c r="B27" s="479">
        <f t="shared" ca="1" si="2"/>
        <v>0</v>
      </c>
      <c r="C27" s="479">
        <f t="shared" ca="1" si="3"/>
        <v>0</v>
      </c>
      <c r="D27" s="479">
        <f t="shared" si="4"/>
        <v>0</v>
      </c>
      <c r="E27" s="479">
        <f t="shared" si="5"/>
        <v>0</v>
      </c>
      <c r="F27" s="479">
        <f t="shared" si="6"/>
        <v>0</v>
      </c>
      <c r="G27" s="479">
        <f t="shared" si="7"/>
        <v>1186.6671575781249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1186.6671575781249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27216.939681276865</v>
      </c>
      <c r="C31" s="489">
        <f t="shared" ca="1" si="18"/>
        <v>0</v>
      </c>
      <c r="D31" s="489">
        <f t="shared" ca="1" si="18"/>
        <v>35641.703765021091</v>
      </c>
      <c r="E31" s="489">
        <f t="shared" si="18"/>
        <v>1312.2487962415471</v>
      </c>
      <c r="F31" s="489">
        <f t="shared" ca="1" si="18"/>
        <v>11884.996341102271</v>
      </c>
      <c r="G31" s="489">
        <f t="shared" si="18"/>
        <v>51689.764647747637</v>
      </c>
      <c r="H31" s="489">
        <f t="shared" si="18"/>
        <v>10543.646147597437</v>
      </c>
      <c r="I31" s="489">
        <f t="shared" si="18"/>
        <v>0</v>
      </c>
      <c r="J31" s="489">
        <f t="shared" si="18"/>
        <v>96.277042220964717</v>
      </c>
      <c r="K31" s="489">
        <f t="shared" si="18"/>
        <v>0</v>
      </c>
      <c r="L31" s="489">
        <f t="shared" ca="1" si="18"/>
        <v>0</v>
      </c>
      <c r="M31" s="489">
        <f t="shared" si="18"/>
        <v>0</v>
      </c>
      <c r="N31" s="489">
        <f t="shared" ca="1" si="18"/>
        <v>0</v>
      </c>
      <c r="O31" s="489">
        <f t="shared" si="18"/>
        <v>0</v>
      </c>
      <c r="P31" s="490">
        <f t="shared" si="18"/>
        <v>0</v>
      </c>
      <c r="Q31" s="490">
        <f t="shared" ca="1" si="18"/>
        <v>138385.57642120781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0.21347272952030077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0.21347272952030077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0.21347272952030077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13042</v>
      </c>
      <c r="C9" s="342">
        <v>13471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2012</v>
      </c>
    </row>
    <row r="15" spans="1:6">
      <c r="A15" s="348" t="s">
        <v>184</v>
      </c>
      <c r="B15" s="334">
        <v>12</v>
      </c>
    </row>
    <row r="16" spans="1:6">
      <c r="A16" s="348" t="s">
        <v>6</v>
      </c>
      <c r="B16" s="334">
        <v>221</v>
      </c>
    </row>
    <row r="17" spans="1:6">
      <c r="A17" s="348" t="s">
        <v>7</v>
      </c>
      <c r="B17" s="334">
        <v>745</v>
      </c>
    </row>
    <row r="18" spans="1:6">
      <c r="A18" s="348" t="s">
        <v>8</v>
      </c>
      <c r="B18" s="334">
        <v>671</v>
      </c>
    </row>
    <row r="19" spans="1:6">
      <c r="A19" s="348" t="s">
        <v>9</v>
      </c>
      <c r="B19" s="334">
        <v>597</v>
      </c>
    </row>
    <row r="20" spans="1:6">
      <c r="A20" s="348" t="s">
        <v>10</v>
      </c>
      <c r="B20" s="334">
        <v>627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234</v>
      </c>
    </row>
    <row r="27" spans="1:6">
      <c r="A27" s="348" t="s">
        <v>17</v>
      </c>
      <c r="B27" s="334">
        <v>0</v>
      </c>
    </row>
    <row r="28" spans="1:6" s="356" customFormat="1">
      <c r="A28" s="355" t="s">
        <v>18</v>
      </c>
      <c r="B28" s="355">
        <v>4323</v>
      </c>
    </row>
    <row r="29" spans="1:6">
      <c r="A29" s="355" t="s">
        <v>828</v>
      </c>
      <c r="B29" s="355">
        <v>149</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306425.59999999998</v>
      </c>
    </row>
    <row r="36" spans="1:6">
      <c r="A36" s="348" t="s">
        <v>25</v>
      </c>
      <c r="B36" s="348" t="s">
        <v>27</v>
      </c>
      <c r="C36" s="334">
        <v>8</v>
      </c>
      <c r="D36" s="334">
        <v>1242526.89043722</v>
      </c>
      <c r="E36" s="334">
        <v>0</v>
      </c>
      <c r="F36" s="334">
        <v>0</v>
      </c>
    </row>
    <row r="37" spans="1:6">
      <c r="A37" s="348" t="s">
        <v>25</v>
      </c>
      <c r="B37" s="348" t="s">
        <v>28</v>
      </c>
      <c r="C37" s="334">
        <v>0</v>
      </c>
      <c r="D37" s="334">
        <v>0</v>
      </c>
      <c r="E37" s="334">
        <v>0</v>
      </c>
      <c r="F37" s="334">
        <v>0</v>
      </c>
    </row>
    <row r="38" spans="1:6">
      <c r="A38" s="348" t="s">
        <v>25</v>
      </c>
      <c r="B38" s="348" t="s">
        <v>29</v>
      </c>
      <c r="C38" s="334">
        <v>2</v>
      </c>
      <c r="D38" s="334">
        <v>794419.59363292495</v>
      </c>
      <c r="E38" s="334">
        <v>5</v>
      </c>
      <c r="F38" s="334">
        <v>30035.14</v>
      </c>
    </row>
    <row r="39" spans="1:6">
      <c r="A39" s="348" t="s">
        <v>30</v>
      </c>
      <c r="B39" s="348" t="s">
        <v>31</v>
      </c>
      <c r="C39" s="334">
        <v>8925</v>
      </c>
      <c r="D39" s="334">
        <v>129342199.07595401</v>
      </c>
      <c r="E39" s="334">
        <v>13235</v>
      </c>
      <c r="F39" s="334">
        <v>52124505</v>
      </c>
    </row>
    <row r="40" spans="1:6">
      <c r="A40" s="348" t="s">
        <v>30</v>
      </c>
      <c r="B40" s="348" t="s">
        <v>29</v>
      </c>
      <c r="C40" s="334">
        <v>0</v>
      </c>
      <c r="D40" s="334">
        <v>0</v>
      </c>
      <c r="E40" s="334">
        <v>1</v>
      </c>
      <c r="F40" s="334">
        <v>2163.944</v>
      </c>
    </row>
    <row r="41" spans="1:6">
      <c r="A41" s="348" t="s">
        <v>32</v>
      </c>
      <c r="B41" s="348" t="s">
        <v>33</v>
      </c>
      <c r="C41" s="334">
        <v>64</v>
      </c>
      <c r="D41" s="334">
        <v>1565491.6388749499</v>
      </c>
      <c r="E41" s="334">
        <v>191</v>
      </c>
      <c r="F41" s="334">
        <v>2765340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262124.4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834806.63917612797</v>
      </c>
      <c r="E47" s="334">
        <v>7</v>
      </c>
      <c r="F47" s="334">
        <v>4190370</v>
      </c>
    </row>
    <row r="48" spans="1:6">
      <c r="A48" s="348" t="s">
        <v>32</v>
      </c>
      <c r="B48" s="348" t="s">
        <v>29</v>
      </c>
      <c r="C48" s="334">
        <v>54</v>
      </c>
      <c r="D48" s="334">
        <v>14201965.584325699</v>
      </c>
      <c r="E48" s="334">
        <v>78</v>
      </c>
      <c r="F48" s="334">
        <v>16760091</v>
      </c>
    </row>
    <row r="49" spans="1:6">
      <c r="A49" s="348" t="s">
        <v>32</v>
      </c>
      <c r="B49" s="348" t="s">
        <v>40</v>
      </c>
      <c r="C49" s="334">
        <v>0</v>
      </c>
      <c r="D49" s="334">
        <v>0</v>
      </c>
      <c r="E49" s="334">
        <v>0</v>
      </c>
      <c r="F49" s="334">
        <v>0</v>
      </c>
    </row>
    <row r="50" spans="1:6">
      <c r="A50" s="348" t="s">
        <v>32</v>
      </c>
      <c r="B50" s="348" t="s">
        <v>41</v>
      </c>
      <c r="C50" s="334">
        <v>4</v>
      </c>
      <c r="D50" s="334">
        <v>177830.45382058399</v>
      </c>
      <c r="E50" s="334">
        <v>12</v>
      </c>
      <c r="F50" s="334">
        <v>3580728</v>
      </c>
    </row>
    <row r="51" spans="1:6">
      <c r="A51" s="348" t="s">
        <v>42</v>
      </c>
      <c r="B51" s="348" t="s">
        <v>43</v>
      </c>
      <c r="C51" s="334">
        <v>8</v>
      </c>
      <c r="D51" s="334">
        <v>249408.39907581499</v>
      </c>
      <c r="E51" s="334">
        <v>95</v>
      </c>
      <c r="F51" s="334">
        <v>655253.69999999995</v>
      </c>
    </row>
    <row r="52" spans="1:6">
      <c r="A52" s="348" t="s">
        <v>42</v>
      </c>
      <c r="B52" s="348" t="s">
        <v>29</v>
      </c>
      <c r="C52" s="334">
        <v>12</v>
      </c>
      <c r="D52" s="334">
        <v>1296096.7904038299</v>
      </c>
      <c r="E52" s="334">
        <v>9</v>
      </c>
      <c r="F52" s="334">
        <v>101093</v>
      </c>
    </row>
    <row r="53" spans="1:6">
      <c r="A53" s="348" t="s">
        <v>44</v>
      </c>
      <c r="B53" s="348" t="s">
        <v>45</v>
      </c>
      <c r="C53" s="334">
        <v>216</v>
      </c>
      <c r="D53" s="334">
        <v>11628200.2815421</v>
      </c>
      <c r="E53" s="334">
        <v>431</v>
      </c>
      <c r="F53" s="334">
        <v>1428317</v>
      </c>
    </row>
    <row r="54" spans="1:6">
      <c r="A54" s="348" t="s">
        <v>46</v>
      </c>
      <c r="B54" s="348" t="s">
        <v>47</v>
      </c>
      <c r="C54" s="334">
        <v>0</v>
      </c>
      <c r="D54" s="334">
        <v>0</v>
      </c>
      <c r="E54" s="334">
        <v>1</v>
      </c>
      <c r="F54" s="334">
        <v>1788791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5904418.5004822696</v>
      </c>
      <c r="E57" s="334">
        <v>173</v>
      </c>
      <c r="F57" s="334">
        <v>4270592</v>
      </c>
    </row>
    <row r="58" spans="1:6">
      <c r="A58" s="348" t="s">
        <v>49</v>
      </c>
      <c r="B58" s="348" t="s">
        <v>51</v>
      </c>
      <c r="C58" s="334">
        <v>13</v>
      </c>
      <c r="D58" s="334">
        <v>365181.175387597</v>
      </c>
      <c r="E58" s="334">
        <v>35</v>
      </c>
      <c r="F58" s="334">
        <v>368485.1</v>
      </c>
    </row>
    <row r="59" spans="1:6">
      <c r="A59" s="348" t="s">
        <v>49</v>
      </c>
      <c r="B59" s="348" t="s">
        <v>52</v>
      </c>
      <c r="C59" s="334">
        <v>132</v>
      </c>
      <c r="D59" s="334">
        <v>9120763.3083892707</v>
      </c>
      <c r="E59" s="334">
        <v>336</v>
      </c>
      <c r="F59" s="334">
        <v>16660476</v>
      </c>
    </row>
    <row r="60" spans="1:6">
      <c r="A60" s="348" t="s">
        <v>49</v>
      </c>
      <c r="B60" s="348" t="s">
        <v>53</v>
      </c>
      <c r="C60" s="334">
        <v>60</v>
      </c>
      <c r="D60" s="334">
        <v>3695144.33487844</v>
      </c>
      <c r="E60" s="334">
        <v>90</v>
      </c>
      <c r="F60" s="334">
        <v>3128051</v>
      </c>
    </row>
    <row r="61" spans="1:6">
      <c r="A61" s="348" t="s">
        <v>49</v>
      </c>
      <c r="B61" s="348" t="s">
        <v>54</v>
      </c>
      <c r="C61" s="334">
        <v>139</v>
      </c>
      <c r="D61" s="334">
        <v>3642903.78689685</v>
      </c>
      <c r="E61" s="334">
        <v>452</v>
      </c>
      <c r="F61" s="334">
        <v>5837024</v>
      </c>
    </row>
    <row r="62" spans="1:6">
      <c r="A62" s="348" t="s">
        <v>49</v>
      </c>
      <c r="B62" s="348" t="s">
        <v>55</v>
      </c>
      <c r="C62" s="334">
        <v>5</v>
      </c>
      <c r="D62" s="334">
        <v>217560.145616439</v>
      </c>
      <c r="E62" s="334">
        <v>6</v>
      </c>
      <c r="F62" s="334">
        <v>109702.3</v>
      </c>
    </row>
    <row r="63" spans="1:6">
      <c r="A63" s="348" t="s">
        <v>49</v>
      </c>
      <c r="B63" s="348" t="s">
        <v>29</v>
      </c>
      <c r="C63" s="334">
        <v>194</v>
      </c>
      <c r="D63" s="334">
        <v>13249049.854720701</v>
      </c>
      <c r="E63" s="334">
        <v>228</v>
      </c>
      <c r="F63" s="334">
        <v>12239904</v>
      </c>
    </row>
    <row r="64" spans="1:6">
      <c r="A64" s="348" t="s">
        <v>56</v>
      </c>
      <c r="B64" s="348" t="s">
        <v>57</v>
      </c>
      <c r="C64" s="334">
        <v>0</v>
      </c>
      <c r="D64" s="334">
        <v>0</v>
      </c>
      <c r="E64" s="334">
        <v>0</v>
      </c>
      <c r="F64" s="334">
        <v>0</v>
      </c>
    </row>
    <row r="65" spans="1:6">
      <c r="A65" s="348" t="s">
        <v>56</v>
      </c>
      <c r="B65" s="348" t="s">
        <v>29</v>
      </c>
      <c r="C65" s="334">
        <v>7</v>
      </c>
      <c r="D65" s="334">
        <v>282740.15619374102</v>
      </c>
      <c r="E65" s="334">
        <v>6</v>
      </c>
      <c r="F65" s="334">
        <v>57137.45</v>
      </c>
    </row>
    <row r="66" spans="1:6">
      <c r="A66" s="348" t="s">
        <v>56</v>
      </c>
      <c r="B66" s="348" t="s">
        <v>58</v>
      </c>
      <c r="C66" s="334">
        <v>0</v>
      </c>
      <c r="D66" s="334">
        <v>0</v>
      </c>
      <c r="E66" s="334">
        <v>18</v>
      </c>
      <c r="F66" s="334">
        <v>141959.4</v>
      </c>
    </row>
    <row r="67" spans="1:6">
      <c r="A67" s="355" t="s">
        <v>56</v>
      </c>
      <c r="B67" s="355" t="s">
        <v>59</v>
      </c>
      <c r="C67" s="334">
        <v>0</v>
      </c>
      <c r="D67" s="334">
        <v>0</v>
      </c>
      <c r="E67" s="334">
        <v>0</v>
      </c>
      <c r="F67" s="334">
        <v>0</v>
      </c>
    </row>
    <row r="68" spans="1:6">
      <c r="A68" s="341" t="s">
        <v>56</v>
      </c>
      <c r="B68" s="341" t="s">
        <v>60</v>
      </c>
      <c r="C68" s="334">
        <v>6</v>
      </c>
      <c r="D68" s="334">
        <v>34289.767825504299</v>
      </c>
      <c r="E68" s="334">
        <v>27</v>
      </c>
      <c r="F68" s="334">
        <v>357518.4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90310708</v>
      </c>
      <c r="E73" s="477">
        <v>92194695.905061662</v>
      </c>
    </row>
    <row r="74" spans="1:6">
      <c r="A74" s="348" t="s">
        <v>64</v>
      </c>
      <c r="B74" s="348" t="s">
        <v>714</v>
      </c>
      <c r="C74" s="1229" t="s">
        <v>716</v>
      </c>
      <c r="D74" s="477">
        <v>5353560.4667439982</v>
      </c>
      <c r="E74" s="477">
        <v>5341902.3584037041</v>
      </c>
    </row>
    <row r="75" spans="1:6">
      <c r="A75" s="348" t="s">
        <v>65</v>
      </c>
      <c r="B75" s="348" t="s">
        <v>713</v>
      </c>
      <c r="C75" s="1229" t="s">
        <v>717</v>
      </c>
      <c r="D75" s="477">
        <v>86172571</v>
      </c>
      <c r="E75" s="477">
        <v>87977862.520873815</v>
      </c>
    </row>
    <row r="76" spans="1:6">
      <c r="A76" s="348" t="s">
        <v>65</v>
      </c>
      <c r="B76" s="348" t="s">
        <v>714</v>
      </c>
      <c r="C76" s="1229" t="s">
        <v>718</v>
      </c>
      <c r="D76" s="477">
        <v>2134004.4667439982</v>
      </c>
      <c r="E76" s="477">
        <v>2183115.0367654064</v>
      </c>
    </row>
    <row r="77" spans="1:6">
      <c r="A77" s="348" t="s">
        <v>66</v>
      </c>
      <c r="B77" s="348" t="s">
        <v>713</v>
      </c>
      <c r="C77" s="1229" t="s">
        <v>719</v>
      </c>
      <c r="D77" s="477">
        <v>102977767</v>
      </c>
      <c r="E77" s="477">
        <v>99170211.436921462</v>
      </c>
    </row>
    <row r="78" spans="1:6">
      <c r="A78" s="341" t="s">
        <v>66</v>
      </c>
      <c r="B78" s="341" t="s">
        <v>714</v>
      </c>
      <c r="C78" s="341" t="s">
        <v>720</v>
      </c>
      <c r="D78" s="1225">
        <v>8541054</v>
      </c>
      <c r="E78" s="1225">
        <v>8099148.6518332912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1255391.066512004</v>
      </c>
      <c r="C83" s="477">
        <v>1247887.1071591771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2613.1007400060657</v>
      </c>
    </row>
    <row r="92" spans="1:6">
      <c r="A92" s="341" t="s">
        <v>69</v>
      </c>
      <c r="B92" s="342">
        <v>1729.4223459159639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127496.09630436936</v>
      </c>
      <c r="C3" s="43" t="s">
        <v>170</v>
      </c>
      <c r="D3" s="43"/>
      <c r="E3" s="154"/>
      <c r="F3" s="43"/>
      <c r="G3" s="43"/>
      <c r="H3" s="43"/>
      <c r="I3" s="43"/>
      <c r="J3" s="43"/>
      <c r="K3" s="96"/>
    </row>
    <row r="4" spans="1:11">
      <c r="A4" s="384" t="s">
        <v>171</v>
      </c>
      <c r="B4" s="49">
        <f>IF(ISERROR('SEAP template'!B69),0,'SEAP template'!B69)</f>
        <v>4342.5230859220301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0.21347272952030077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1788.7909999999999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1788.7909999999999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0.21347272952030077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381.85809731134833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52126.668943999997</v>
      </c>
      <c r="C5" s="17">
        <f>IF(ISERROR('Eigen informatie GS &amp; warmtenet'!B57),0,'Eigen informatie GS &amp; warmtenet'!B57)</f>
        <v>0</v>
      </c>
      <c r="D5" s="30">
        <f>(SUM(HH_hh_gas_kWh,HH_rest_gas_kWh)/1000)*0.902</f>
        <v>116666.66356651051</v>
      </c>
      <c r="E5" s="17">
        <f>B46*B57</f>
        <v>2901.5978746260962</v>
      </c>
      <c r="F5" s="17">
        <f>B51*B62</f>
        <v>23343.813626578423</v>
      </c>
      <c r="G5" s="18"/>
      <c r="H5" s="17"/>
      <c r="I5" s="17"/>
      <c r="J5" s="17">
        <f>B50*B61+C50*C61</f>
        <v>0</v>
      </c>
      <c r="K5" s="17"/>
      <c r="L5" s="17"/>
      <c r="M5" s="17"/>
      <c r="N5" s="17">
        <f>B48*B59+C48*C59</f>
        <v>11120.675357814127</v>
      </c>
      <c r="O5" s="17">
        <f>B69*B70*B71</f>
        <v>128.19333333333336</v>
      </c>
      <c r="P5" s="17">
        <f>B77*B78*B79/1000-B77*B78*B79/1000/B80</f>
        <v>419.4666666666667</v>
      </c>
    </row>
    <row r="6" spans="1:16">
      <c r="A6" s="16" t="s">
        <v>631</v>
      </c>
      <c r="B6" s="844">
        <f>kWh_PV_kleiner_dan_10kW</f>
        <v>2613.1007400060657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54739.76968400606</v>
      </c>
      <c r="C8" s="21">
        <f>C5</f>
        <v>0</v>
      </c>
      <c r="D8" s="21">
        <f>D5</f>
        <v>116666.66356651051</v>
      </c>
      <c r="E8" s="21">
        <f>E5</f>
        <v>2901.5978746260962</v>
      </c>
      <c r="F8" s="21">
        <f>F5</f>
        <v>23343.813626578423</v>
      </c>
      <c r="G8" s="21"/>
      <c r="H8" s="21"/>
      <c r="I8" s="21"/>
      <c r="J8" s="21">
        <f>J5</f>
        <v>0</v>
      </c>
      <c r="K8" s="21"/>
      <c r="L8" s="21">
        <f>L5</f>
        <v>0</v>
      </c>
      <c r="M8" s="21">
        <f>M5</f>
        <v>0</v>
      </c>
      <c r="N8" s="21">
        <f>N5</f>
        <v>11120.675357814127</v>
      </c>
      <c r="O8" s="21">
        <f>O5</f>
        <v>128.19333333333336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0.21347272952030077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11685.448047757385</v>
      </c>
      <c r="C12" s="23">
        <f ca="1">C10*C8</f>
        <v>0</v>
      </c>
      <c r="D12" s="23">
        <f>D8*D10</f>
        <v>23566.666040435124</v>
      </c>
      <c r="E12" s="23">
        <f>E10*E8</f>
        <v>658.66271754012382</v>
      </c>
      <c r="F12" s="23">
        <f>F10*F8</f>
        <v>6232.7982382964392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13042</v>
      </c>
      <c r="C28" s="36"/>
      <c r="D28" s="228"/>
    </row>
    <row r="29" spans="1:7" s="15" customFormat="1">
      <c r="A29" s="230" t="s">
        <v>741</v>
      </c>
      <c r="B29" s="37">
        <f>SUM(HH_hh_gas_aantal,HH_rest_gas_aantal)</f>
        <v>8925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8925</v>
      </c>
      <c r="C32" s="167">
        <f>IF(ISERROR(B32/SUM($B$32,$B$34,$B$35,$B$36,$B$38,$B$39)*100),0,B32/SUM($B$32,$B$34,$B$35,$B$36,$B$38,$B$39)*100)</f>
        <v>68.548387096774206</v>
      </c>
      <c r="D32" s="233"/>
      <c r="G32" s="15"/>
    </row>
    <row r="33" spans="1:7">
      <c r="A33" s="171" t="s">
        <v>72</v>
      </c>
      <c r="B33" s="34" t="s">
        <v>111</v>
      </c>
      <c r="C33" s="167"/>
      <c r="D33" s="233"/>
      <c r="G33" s="15"/>
    </row>
    <row r="34" spans="1:7">
      <c r="A34" s="171" t="s">
        <v>73</v>
      </c>
      <c r="B34" s="33">
        <f>IF((($B$28-$B$32-$B$39-$B$77-$B$38)*C20/100)&lt;0,0,($B$28-$B$32-$B$39-$B$77-$B$38)*C20/100)</f>
        <v>194.4706114398422</v>
      </c>
      <c r="C34" s="167">
        <f>IF(ISERROR(B34/SUM($B$32,$B$34,$B$35,$B$36,$B$38,$B$39)*100),0,B34/SUM($B$32,$B$34,$B$35,$B$36,$B$38,$B$39)*100)</f>
        <v>1.4936298881708312</v>
      </c>
      <c r="D34" s="233"/>
      <c r="G34" s="15"/>
    </row>
    <row r="35" spans="1:7">
      <c r="A35" s="171" t="s">
        <v>74</v>
      </c>
      <c r="B35" s="33">
        <f>IF((($B$28-$B$32-$B$39-$B$77-$B$38)*C21/100)&lt;0,0,($B$28-$B$32-$B$39-$B$77-$B$38)*C21/100)</f>
        <v>2755.6899408284025</v>
      </c>
      <c r="C35" s="167">
        <f>IF(ISERROR(B35/SUM($B$32,$B$34,$B$35,$B$36,$B$38,$B$39)*100),0,B35/SUM($B$32,$B$34,$B$35,$B$36,$B$38,$B$39)*100)</f>
        <v>21.165053308973906</v>
      </c>
      <c r="D35" s="233"/>
      <c r="G35" s="15"/>
    </row>
    <row r="36" spans="1:7">
      <c r="A36" s="171" t="s">
        <v>75</v>
      </c>
      <c r="B36" s="33">
        <f>IF((($B$28-$B$32-$B$39-$B$77-$B$38)*C22/100)&lt;0,0,($B$28-$B$32-$B$39-$B$77-$B$38)*C22/100)</f>
        <v>196.53944773175542</v>
      </c>
      <c r="C36" s="167">
        <f>IF(ISERROR(B36/SUM($B$32,$B$34,$B$35,$B$36,$B$38,$B$39)*100),0,B36/SUM($B$32,$B$34,$B$35,$B$36,$B$38,$B$39)*100)</f>
        <v>1.5095195678322231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948.29999999999973</v>
      </c>
      <c r="C39" s="167">
        <f>IF(ISERROR(B39/SUM($B$32,$B$34,$B$35,$B$36,$B$38,$B$39)*100),0,B39/SUM($B$32,$B$34,$B$35,$B$36,$B$38,$B$39)*100)</f>
        <v>7.283410138248847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8925</v>
      </c>
      <c r="C44" s="34" t="s">
        <v>111</v>
      </c>
      <c r="D44" s="174"/>
    </row>
    <row r="45" spans="1:7">
      <c r="A45" s="171" t="s">
        <v>72</v>
      </c>
      <c r="B45" s="33" t="str">
        <f t="shared" si="0"/>
        <v>-</v>
      </c>
      <c r="C45" s="34" t="s">
        <v>111</v>
      </c>
      <c r="D45" s="174"/>
    </row>
    <row r="46" spans="1:7">
      <c r="A46" s="171" t="s">
        <v>73</v>
      </c>
      <c r="B46" s="33">
        <f t="shared" si="0"/>
        <v>194.4706114398422</v>
      </c>
      <c r="C46" s="34" t="s">
        <v>111</v>
      </c>
      <c r="D46" s="174"/>
    </row>
    <row r="47" spans="1:7">
      <c r="A47" s="171" t="s">
        <v>74</v>
      </c>
      <c r="B47" s="33">
        <f t="shared" si="0"/>
        <v>2755.6899408284025</v>
      </c>
      <c r="C47" s="34" t="s">
        <v>111</v>
      </c>
      <c r="D47" s="174"/>
    </row>
    <row r="48" spans="1:7">
      <c r="A48" s="171" t="s">
        <v>75</v>
      </c>
      <c r="B48" s="33">
        <f t="shared" si="0"/>
        <v>196.53944773175542</v>
      </c>
      <c r="C48" s="33">
        <f>B48*10</f>
        <v>1965.3944773175542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948.29999999999973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42614.234400000001</v>
      </c>
      <c r="C5" s="17">
        <f>IF(ISERROR('Eigen informatie GS &amp; warmtenet'!B58),0,'Eigen informatie GS &amp; warmtenet'!B58)</f>
        <v>0</v>
      </c>
      <c r="D5" s="30">
        <f>SUM(D6:D12)</f>
        <v>32647.909037947156</v>
      </c>
      <c r="E5" s="17">
        <f>SUM(E6:E12)</f>
        <v>452.83246180907116</v>
      </c>
      <c r="F5" s="17">
        <f>SUM(F6:F12)</f>
        <v>6321.2332661591463</v>
      </c>
      <c r="G5" s="18"/>
      <c r="H5" s="17"/>
      <c r="I5" s="17"/>
      <c r="J5" s="17">
        <f>SUM(J6:J12)</f>
        <v>0</v>
      </c>
      <c r="K5" s="17"/>
      <c r="L5" s="17"/>
      <c r="M5" s="17"/>
      <c r="N5" s="17">
        <f>SUM(N6:N12)</f>
        <v>4249.5952134412491</v>
      </c>
      <c r="O5" s="17">
        <f>B38*B39*B40</f>
        <v>0</v>
      </c>
      <c r="P5" s="17">
        <f>B46*B47*B48/1000-B46*B47*B48/1000/B49</f>
        <v>0</v>
      </c>
      <c r="R5" s="32"/>
    </row>
    <row r="6" spans="1:18">
      <c r="A6" s="32" t="s">
        <v>54</v>
      </c>
      <c r="B6" s="37">
        <f>B26</f>
        <v>5837.0240000000003</v>
      </c>
      <c r="C6" s="33"/>
      <c r="D6" s="37">
        <f>IF(ISERROR(TER_kantoor_gas_kWh/1000),0,TER_kantoor_gas_kWh/1000)*0.902</f>
        <v>3285.8992157809585</v>
      </c>
      <c r="E6" s="33">
        <f>$C$26*'E Balans VL '!I12/100/3.6*1000000</f>
        <v>16.910714940853801</v>
      </c>
      <c r="F6" s="33">
        <f>$C$26*('E Balans VL '!L12+'E Balans VL '!N12)/100/3.6*1000000</f>
        <v>660.6225171906508</v>
      </c>
      <c r="G6" s="34"/>
      <c r="H6" s="33"/>
      <c r="I6" s="33"/>
      <c r="J6" s="33">
        <f>$C$26*('E Balans VL '!D12+'E Balans VL '!E12)/100/3.6*1000000</f>
        <v>0</v>
      </c>
      <c r="K6" s="33"/>
      <c r="L6" s="33"/>
      <c r="M6" s="33"/>
      <c r="N6" s="33">
        <f>$C$26*'E Balans VL '!Y12/100/3.6*1000000</f>
        <v>58.424309328686398</v>
      </c>
      <c r="O6" s="33"/>
      <c r="P6" s="33"/>
      <c r="R6" s="32"/>
    </row>
    <row r="7" spans="1:18">
      <c r="A7" s="32" t="s">
        <v>53</v>
      </c>
      <c r="B7" s="37">
        <f t="shared" ref="B7:B12" si="0">B27</f>
        <v>3128.0509999999999</v>
      </c>
      <c r="C7" s="33"/>
      <c r="D7" s="37">
        <f>IF(ISERROR(TER_horeca_gas_kWh/1000),0,TER_horeca_gas_kWh/1000)*0.902</f>
        <v>3333.0201900603529</v>
      </c>
      <c r="E7" s="33">
        <f>$C$27*'E Balans VL '!I9/100/3.6*1000000</f>
        <v>131.30684137823405</v>
      </c>
      <c r="F7" s="33">
        <f>$C$27*('E Balans VL '!L9+'E Balans VL '!N9)/100/3.6*1000000</f>
        <v>672.12590407728294</v>
      </c>
      <c r="G7" s="34"/>
      <c r="H7" s="33"/>
      <c r="I7" s="33"/>
      <c r="J7" s="33">
        <f>$C$27*('E Balans VL '!D9+'E Balans VL '!E9)/100/3.6*1000000</f>
        <v>0</v>
      </c>
      <c r="K7" s="33"/>
      <c r="L7" s="33"/>
      <c r="M7" s="33"/>
      <c r="N7" s="33">
        <f>$C$27*'E Balans VL '!Y9/100/3.6*1000000</f>
        <v>0.80607138690161018</v>
      </c>
      <c r="O7" s="33"/>
      <c r="P7" s="33"/>
      <c r="R7" s="32"/>
    </row>
    <row r="8" spans="1:18">
      <c r="A8" s="6" t="s">
        <v>52</v>
      </c>
      <c r="B8" s="37">
        <f t="shared" si="0"/>
        <v>16660.475999999999</v>
      </c>
      <c r="C8" s="33"/>
      <c r="D8" s="37">
        <f>IF(ISERROR(TER_handel_gas_kWh/1000),0,TER_handel_gas_kWh/1000)*0.902</f>
        <v>8226.9285041671228</v>
      </c>
      <c r="E8" s="33">
        <f>$C$28*'E Balans VL '!I13/100/3.6*1000000</f>
        <v>178.94737836000829</v>
      </c>
      <c r="F8" s="33">
        <f>$C$28*('E Balans VL '!L13+'E Balans VL '!N13)/100/3.6*1000000</f>
        <v>2156.8361975746375</v>
      </c>
      <c r="G8" s="34"/>
      <c r="H8" s="33"/>
      <c r="I8" s="33"/>
      <c r="J8" s="33">
        <f>$C$28*('E Balans VL '!D13+'E Balans VL '!E13)/100/3.6*1000000</f>
        <v>0</v>
      </c>
      <c r="K8" s="33"/>
      <c r="L8" s="33"/>
      <c r="M8" s="33"/>
      <c r="N8" s="33">
        <f>$C$28*'E Balans VL '!Y13/100/3.6*1000000</f>
        <v>135.15069101354297</v>
      </c>
      <c r="O8" s="33"/>
      <c r="P8" s="33"/>
      <c r="R8" s="32"/>
    </row>
    <row r="9" spans="1:18">
      <c r="A9" s="32" t="s">
        <v>51</v>
      </c>
      <c r="B9" s="37">
        <f t="shared" si="0"/>
        <v>368.48509999999999</v>
      </c>
      <c r="C9" s="33"/>
      <c r="D9" s="37">
        <f>IF(ISERROR(TER_gezond_gas_kWh/1000),0,TER_gezond_gas_kWh/1000)*0.902</f>
        <v>329.39342019961254</v>
      </c>
      <c r="E9" s="33">
        <f>$C$29*'E Balans VL '!I10/100/3.6*1000000</f>
        <v>0.29333797257776367</v>
      </c>
      <c r="F9" s="33">
        <f>$C$29*('E Balans VL '!L10+'E Balans VL '!N10)/100/3.6*1000000</f>
        <v>44.794688994327949</v>
      </c>
      <c r="G9" s="34"/>
      <c r="H9" s="33"/>
      <c r="I9" s="33"/>
      <c r="J9" s="33">
        <f>$C$29*('E Balans VL '!D10+'E Balans VL '!E10)/100/3.6*1000000</f>
        <v>0</v>
      </c>
      <c r="K9" s="33"/>
      <c r="L9" s="33"/>
      <c r="M9" s="33"/>
      <c r="N9" s="33">
        <f>$C$29*'E Balans VL '!Y10/100/3.6*1000000</f>
        <v>2.9765250140869948</v>
      </c>
      <c r="O9" s="33"/>
      <c r="P9" s="33"/>
      <c r="R9" s="32"/>
    </row>
    <row r="10" spans="1:18">
      <c r="A10" s="32" t="s">
        <v>50</v>
      </c>
      <c r="B10" s="37">
        <f t="shared" si="0"/>
        <v>4270.5919999999996</v>
      </c>
      <c r="C10" s="33"/>
      <c r="D10" s="37">
        <f>IF(ISERROR(TER_ander_gas_kWh/1000),0,TER_ander_gas_kWh/1000)*0.902</f>
        <v>5325.7854874350069</v>
      </c>
      <c r="E10" s="33">
        <f>$C$30*'E Balans VL '!I14/100/3.6*1000000</f>
        <v>14.635543132145401</v>
      </c>
      <c r="F10" s="33">
        <f>$C$30*('E Balans VL '!L14+'E Balans VL '!N14)/100/3.6*1000000</f>
        <v>953.87671638310292</v>
      </c>
      <c r="G10" s="34"/>
      <c r="H10" s="33"/>
      <c r="I10" s="33"/>
      <c r="J10" s="33">
        <f>$C$30*('E Balans VL '!D14+'E Balans VL '!E14)/100/3.6*1000000</f>
        <v>0</v>
      </c>
      <c r="K10" s="33"/>
      <c r="L10" s="33"/>
      <c r="M10" s="33"/>
      <c r="N10" s="33">
        <f>$C$30*'E Balans VL '!Y14/100/3.6*1000000</f>
        <v>3008.2283345880614</v>
      </c>
      <c r="O10" s="33"/>
      <c r="P10" s="33"/>
      <c r="R10" s="32"/>
    </row>
    <row r="11" spans="1:18">
      <c r="A11" s="32" t="s">
        <v>55</v>
      </c>
      <c r="B11" s="37">
        <f t="shared" si="0"/>
        <v>109.70230000000001</v>
      </c>
      <c r="C11" s="33"/>
      <c r="D11" s="37">
        <f>IF(ISERROR(TER_onderwijs_gas_kWh/1000),0,TER_onderwijs_gas_kWh/1000)*0.902</f>
        <v>196.239251346028</v>
      </c>
      <c r="E11" s="33">
        <f>$C$31*'E Balans VL '!I11/100/3.6*1000000</f>
        <v>7.5833821425057263E-2</v>
      </c>
      <c r="F11" s="33">
        <f>$C$31*('E Balans VL '!L11+'E Balans VL '!N11)/100/3.6*1000000</f>
        <v>28.716875504403415</v>
      </c>
      <c r="G11" s="34"/>
      <c r="H11" s="33"/>
      <c r="I11" s="33"/>
      <c r="J11" s="33">
        <f>$C$31*('E Balans VL '!D11+'E Balans VL '!E11)/100/3.6*1000000</f>
        <v>0</v>
      </c>
      <c r="K11" s="33"/>
      <c r="L11" s="33"/>
      <c r="M11" s="33"/>
      <c r="N11" s="33">
        <f>$C$31*'E Balans VL '!Y11/100/3.6*1000000</f>
        <v>0.10919929593697281</v>
      </c>
      <c r="O11" s="33"/>
      <c r="P11" s="33"/>
      <c r="R11" s="32"/>
    </row>
    <row r="12" spans="1:18">
      <c r="A12" s="32" t="s">
        <v>260</v>
      </c>
      <c r="B12" s="37">
        <f t="shared" si="0"/>
        <v>12239.904</v>
      </c>
      <c r="C12" s="33"/>
      <c r="D12" s="37">
        <f>IF(ISERROR(TER_rest_gas_kWh/1000),0,TER_rest_gas_kWh/1000)*0.902</f>
        <v>11950.642968958073</v>
      </c>
      <c r="E12" s="33">
        <f>$C$32*'E Balans VL '!I8/100/3.6*1000000</f>
        <v>110.66281220382673</v>
      </c>
      <c r="F12" s="33">
        <f>$C$32*('E Balans VL '!L8+'E Balans VL '!N8)/100/3.6*1000000</f>
        <v>1804.2603664347414</v>
      </c>
      <c r="G12" s="34"/>
      <c r="H12" s="33"/>
      <c r="I12" s="33"/>
      <c r="J12" s="33">
        <f>$C$32*('E Balans VL '!D8+'E Balans VL '!E8)/100/3.6*1000000</f>
        <v>0</v>
      </c>
      <c r="K12" s="33"/>
      <c r="L12" s="33"/>
      <c r="M12" s="33"/>
      <c r="N12" s="33">
        <f>$C$32*'E Balans VL '!Y8/100/3.6*1000000</f>
        <v>1043.9000828140329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42614.234400000001</v>
      </c>
      <c r="C16" s="21">
        <f t="shared" ca="1" si="1"/>
        <v>0</v>
      </c>
      <c r="D16" s="21">
        <f t="shared" ca="1" si="1"/>
        <v>32647.909037947156</v>
      </c>
      <c r="E16" s="21">
        <f t="shared" si="1"/>
        <v>452.83246180907116</v>
      </c>
      <c r="F16" s="21">
        <f t="shared" ca="1" si="1"/>
        <v>6321.2332661591463</v>
      </c>
      <c r="G16" s="21">
        <f t="shared" si="1"/>
        <v>0</v>
      </c>
      <c r="H16" s="21">
        <f t="shared" si="1"/>
        <v>0</v>
      </c>
      <c r="I16" s="21">
        <f t="shared" si="1"/>
        <v>0</v>
      </c>
      <c r="J16" s="21">
        <f t="shared" si="1"/>
        <v>0</v>
      </c>
      <c r="K16" s="21">
        <f t="shared" si="1"/>
        <v>0</v>
      </c>
      <c r="L16" s="21">
        <f t="shared" ca="1" si="1"/>
        <v>0</v>
      </c>
      <c r="M16" s="21">
        <f t="shared" si="1"/>
        <v>0</v>
      </c>
      <c r="N16" s="21">
        <f t="shared" ca="1" si="1"/>
        <v>4249.5952134412491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0.21347272952030077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9096.9769337858979</v>
      </c>
      <c r="C20" s="23">
        <f t="shared" ref="C20:P20" ca="1" si="2">C16*C18</f>
        <v>0</v>
      </c>
      <c r="D20" s="23">
        <f t="shared" ca="1" si="2"/>
        <v>6594.8776256653264</v>
      </c>
      <c r="E20" s="23">
        <f t="shared" si="2"/>
        <v>102.79296883065916</v>
      </c>
      <c r="F20" s="23">
        <f t="shared" ca="1" si="2"/>
        <v>1687.7692820644922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5837.0240000000003</v>
      </c>
      <c r="C26" s="39">
        <f>IF(ISERROR(B26*3.6/1000000/'E Balans VL '!Z12*100),0,B26*3.6/1000000/'E Balans VL '!Z12*100)</f>
        <v>0.1282169804354977</v>
      </c>
      <c r="D26" s="237" t="s">
        <v>692</v>
      </c>
      <c r="F26" s="6"/>
    </row>
    <row r="27" spans="1:18">
      <c r="A27" s="231" t="s">
        <v>53</v>
      </c>
      <c r="B27" s="33">
        <f>IF(ISERROR(TER_horeca_ele_kWh/1000),0,TER_horeca_ele_kWh/1000)</f>
        <v>3128.0509999999999</v>
      </c>
      <c r="C27" s="39">
        <f>IF(ISERROR(B27*3.6/1000000/'E Balans VL '!Z9*100),0,B27*3.6/1000000/'E Balans VL '!Z9*100)</f>
        <v>0.2513700786306467</v>
      </c>
      <c r="D27" s="237" t="s">
        <v>692</v>
      </c>
      <c r="F27" s="6"/>
    </row>
    <row r="28" spans="1:18">
      <c r="A28" s="171" t="s">
        <v>52</v>
      </c>
      <c r="B28" s="33">
        <f>IF(ISERROR(TER_handel_ele_kWh/1000),0,TER_handel_ele_kWh/1000)</f>
        <v>16660.475999999999</v>
      </c>
      <c r="C28" s="39">
        <f>IF(ISERROR(B28*3.6/1000000/'E Balans VL '!Z13*100),0,B28*3.6/1000000/'E Balans VL '!Z13*100)</f>
        <v>0.49263863606708191</v>
      </c>
      <c r="D28" s="237" t="s">
        <v>692</v>
      </c>
      <c r="F28" s="6"/>
    </row>
    <row r="29" spans="1:18">
      <c r="A29" s="231" t="s">
        <v>51</v>
      </c>
      <c r="B29" s="33">
        <f>IF(ISERROR(TER_gezond_ele_kWh/1000),0,TER_gezond_ele_kWh/1000)</f>
        <v>368.48509999999999</v>
      </c>
      <c r="C29" s="39">
        <f>IF(ISERROR(B29*3.6/1000000/'E Balans VL '!Z10*100),0,B29*3.6/1000000/'E Balans VL '!Z10*100)</f>
        <v>4.1518757323330449E-2</v>
      </c>
      <c r="D29" s="237" t="s">
        <v>692</v>
      </c>
      <c r="F29" s="6"/>
    </row>
    <row r="30" spans="1:18">
      <c r="A30" s="231" t="s">
        <v>50</v>
      </c>
      <c r="B30" s="33">
        <f>IF(ISERROR(TER_ander_ele_kWh/1000),0,TER_ander_ele_kWh/1000)</f>
        <v>4270.5919999999996</v>
      </c>
      <c r="C30" s="39">
        <f>IF(ISERROR(B30*3.6/1000000/'E Balans VL '!Z14*100),0,B30*3.6/1000000/'E Balans VL '!Z14*100)</f>
        <v>0.32297757271272864</v>
      </c>
      <c r="D30" s="237" t="s">
        <v>692</v>
      </c>
      <c r="F30" s="6"/>
    </row>
    <row r="31" spans="1:18">
      <c r="A31" s="231" t="s">
        <v>55</v>
      </c>
      <c r="B31" s="33">
        <f>IF(ISERROR(TER_onderwijs_ele_kWh/1000),0,TER_onderwijs_ele_kWh/1000)</f>
        <v>109.70230000000001</v>
      </c>
      <c r="C31" s="39">
        <f>IF(ISERROR(B31*3.6/1000000/'E Balans VL '!Z11*100),0,B31*3.6/1000000/'E Balans VL '!Z11*100)</f>
        <v>2.2771650850433388E-2</v>
      </c>
      <c r="D31" s="237" t="s">
        <v>692</v>
      </c>
    </row>
    <row r="32" spans="1:18">
      <c r="A32" s="231" t="s">
        <v>260</v>
      </c>
      <c r="B32" s="33">
        <f>IF(ISERROR(TER_rest_ele_kWh/1000),0,TER_rest_ele_kWh/1000)</f>
        <v>12239.904</v>
      </c>
      <c r="C32" s="39">
        <f>IF(ISERROR(B32*3.6/1000000/'E Balans VL '!Z8*100),0,B32*3.6/1000000/'E Balans VL '!Z8*100)</f>
        <v>0.10311399070831889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27558.653399999999</v>
      </c>
      <c r="C5" s="17">
        <f>IF(ISERROR('Eigen informatie GS &amp; warmtenet'!B59),0,'Eigen informatie GS &amp; warmtenet'!B59)</f>
        <v>0</v>
      </c>
      <c r="D5" s="30">
        <f>SUM(D6:D15)</f>
        <v>15135.64507321002</v>
      </c>
      <c r="E5" s="17">
        <f>SUM(E6:E15)</f>
        <v>1664.735183076421</v>
      </c>
      <c r="F5" s="17">
        <f>SUM(F6:F15)</f>
        <v>12929.052355959337</v>
      </c>
      <c r="G5" s="18"/>
      <c r="H5" s="17"/>
      <c r="I5" s="17"/>
      <c r="J5" s="17">
        <f>SUM(J6:J15)</f>
        <v>156.01265585812678</v>
      </c>
      <c r="K5" s="17"/>
      <c r="L5" s="17"/>
      <c r="M5" s="17"/>
      <c r="N5" s="17">
        <f>SUM(N6:N15)</f>
        <v>7707.5806333198816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262.12439999999998</v>
      </c>
      <c r="C8" s="33"/>
      <c r="D8" s="37">
        <f>IF( ISERROR(IND_metaal_Gas_kWH/1000),0,IND_metaal_Gas_kWH/1000)*0.902</f>
        <v>0</v>
      </c>
      <c r="E8" s="33">
        <f>C30*'E Balans VL '!I18/100/3.6*1000000</f>
        <v>6.5600563162543502</v>
      </c>
      <c r="F8" s="33">
        <f>C30*'E Balans VL '!L18/100/3.6*1000000+C30*'E Balans VL '!N18/100/3.6*1000000</f>
        <v>82.151090833821172</v>
      </c>
      <c r="G8" s="34"/>
      <c r="H8" s="33"/>
      <c r="I8" s="33"/>
      <c r="J8" s="40">
        <f>C30*'E Balans VL '!D18/100/3.6*1000000+C30*'E Balans VL '!E18/100/3.6*1000000</f>
        <v>0</v>
      </c>
      <c r="K8" s="33"/>
      <c r="L8" s="33"/>
      <c r="M8" s="33"/>
      <c r="N8" s="33">
        <f>C30*'E Balans VL '!Y18/100/3.6*1000000</f>
        <v>6.5852452001381874</v>
      </c>
      <c r="O8" s="33"/>
      <c r="P8" s="33"/>
      <c r="R8" s="32"/>
    </row>
    <row r="9" spans="1:18">
      <c r="A9" s="6" t="s">
        <v>33</v>
      </c>
      <c r="B9" s="37">
        <f t="shared" si="0"/>
        <v>2765.34</v>
      </c>
      <c r="C9" s="33"/>
      <c r="D9" s="37">
        <f>IF( ISERROR(IND_andere_gas_kWh/1000),0,IND_andere_gas_kWh/1000)*0.902</f>
        <v>1412.0734582652046</v>
      </c>
      <c r="E9" s="33">
        <f>C31*'E Balans VL '!I19/100/3.6*1000000</f>
        <v>760.355079426163</v>
      </c>
      <c r="F9" s="33">
        <f>C31*'E Balans VL '!L19/100/3.6*1000000+C31*'E Balans VL '!N19/100/3.6*1000000</f>
        <v>2179.5691237094443</v>
      </c>
      <c r="G9" s="34"/>
      <c r="H9" s="33"/>
      <c r="I9" s="33"/>
      <c r="J9" s="40">
        <f>C31*'E Balans VL '!D19/100/3.6*1000000+C31*'E Balans VL '!E19/100/3.6*1000000</f>
        <v>0</v>
      </c>
      <c r="K9" s="33"/>
      <c r="L9" s="33"/>
      <c r="M9" s="33"/>
      <c r="N9" s="33">
        <f>C31*'E Balans VL '!Y19/100/3.6*1000000</f>
        <v>895.21355076145369</v>
      </c>
      <c r="O9" s="33"/>
      <c r="P9" s="33"/>
      <c r="R9" s="32"/>
    </row>
    <row r="10" spans="1:18">
      <c r="A10" s="6" t="s">
        <v>41</v>
      </c>
      <c r="B10" s="37">
        <f t="shared" si="0"/>
        <v>3580.7280000000001</v>
      </c>
      <c r="C10" s="33"/>
      <c r="D10" s="37">
        <f>IF( ISERROR(IND_voed_gas_kWh/1000),0,IND_voed_gas_kWh/1000)*0.902</f>
        <v>160.40306934616675</v>
      </c>
      <c r="E10" s="33">
        <f>C32*'E Balans VL '!I20/100/3.6*1000000</f>
        <v>36.503549325688901</v>
      </c>
      <c r="F10" s="33">
        <f>C32*'E Balans VL '!L20/100/3.6*1000000+C32*'E Balans VL '!N20/100/3.6*1000000</f>
        <v>6763.9727967081999</v>
      </c>
      <c r="G10" s="34"/>
      <c r="H10" s="33"/>
      <c r="I10" s="33"/>
      <c r="J10" s="40">
        <f>C32*'E Balans VL '!D20/100/3.6*1000000+C32*'E Balans VL '!E20/100/3.6*1000000</f>
        <v>85.698537235059874</v>
      </c>
      <c r="K10" s="33"/>
      <c r="L10" s="33"/>
      <c r="M10" s="33"/>
      <c r="N10" s="33">
        <f>C32*'E Balans VL '!Y20/100/3.6*1000000</f>
        <v>1887.4561052895974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4190.37</v>
      </c>
      <c r="C13" s="33"/>
      <c r="D13" s="37">
        <f>IF( ISERROR(IND_papier_gas_kWh/1000),0,IND_papier_gas_kWh/1000)*0.902</f>
        <v>752.99558853686744</v>
      </c>
      <c r="E13" s="33">
        <f>C35*'E Balans VL '!I23/100/3.6*1000000</f>
        <v>8.6785391131642573</v>
      </c>
      <c r="F13" s="33">
        <f>C35*'E Balans VL '!L23/100/3.6*1000000+C35*'E Balans VL '!N23/100/3.6*1000000</f>
        <v>83.104020539269243</v>
      </c>
      <c r="G13" s="34"/>
      <c r="H13" s="33"/>
      <c r="I13" s="33"/>
      <c r="J13" s="40">
        <f>C35*'E Balans VL '!D23/100/3.6*1000000+C35*'E Balans VL '!E23/100/3.6*1000000</f>
        <v>0</v>
      </c>
      <c r="K13" s="33"/>
      <c r="L13" s="33"/>
      <c r="M13" s="33"/>
      <c r="N13" s="33">
        <f>C35*'E Balans VL '!Y23/100/3.6*1000000</f>
        <v>1769.3748019007146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16760.091</v>
      </c>
      <c r="C15" s="33"/>
      <c r="D15" s="37">
        <f>IF( ISERROR(IND_rest_gas_kWh/1000),0,IND_rest_gas_kWh/1000)*0.902</f>
        <v>12810.172957061781</v>
      </c>
      <c r="E15" s="33">
        <f>C37*'E Balans VL '!I15/100/3.6*1000000</f>
        <v>852.6379588951504</v>
      </c>
      <c r="F15" s="33">
        <f>C37*'E Balans VL '!L15/100/3.6*1000000+C37*'E Balans VL '!N15/100/3.6*1000000</f>
        <v>3820.2553241686023</v>
      </c>
      <c r="G15" s="34"/>
      <c r="H15" s="33"/>
      <c r="I15" s="33"/>
      <c r="J15" s="40">
        <f>C37*'E Balans VL '!D15/100/3.6*1000000+C37*'E Balans VL '!E15/100/3.6*1000000</f>
        <v>70.314118623066918</v>
      </c>
      <c r="K15" s="33"/>
      <c r="L15" s="33"/>
      <c r="M15" s="33"/>
      <c r="N15" s="33">
        <f>C37*'E Balans VL '!Y15/100/3.6*1000000</f>
        <v>3148.9509301679782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27558.653399999999</v>
      </c>
      <c r="C18" s="21">
        <f>C5+C16</f>
        <v>0</v>
      </c>
      <c r="D18" s="21">
        <f>MAX((D5+D16),0)</f>
        <v>15135.64507321002</v>
      </c>
      <c r="E18" s="21">
        <f>MAX((E5+E16),0)</f>
        <v>1664.735183076421</v>
      </c>
      <c r="F18" s="21">
        <f>MAX((F5+F16),0)</f>
        <v>12929.052355959337</v>
      </c>
      <c r="G18" s="21"/>
      <c r="H18" s="21"/>
      <c r="I18" s="21"/>
      <c r="J18" s="21">
        <f>MAX((J5+J16),0)</f>
        <v>156.01265585812678</v>
      </c>
      <c r="K18" s="21"/>
      <c r="L18" s="21">
        <f>MAX((L5+L16),0)</f>
        <v>0</v>
      </c>
      <c r="M18" s="21"/>
      <c r="N18" s="21">
        <f>MAX((N5+N16),0)</f>
        <v>7707.5806333198816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0.21347272952030077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5883.0209632019169</v>
      </c>
      <c r="C22" s="23">
        <f ca="1">C18*C20</f>
        <v>0</v>
      </c>
      <c r="D22" s="23">
        <f>D18*D20</f>
        <v>3057.4003047884244</v>
      </c>
      <c r="E22" s="23">
        <f>E18*E20</f>
        <v>377.89488655834759</v>
      </c>
      <c r="F22" s="23">
        <f>F18*F20</f>
        <v>3452.0569790411432</v>
      </c>
      <c r="G22" s="23"/>
      <c r="H22" s="23"/>
      <c r="I22" s="23"/>
      <c r="J22" s="23">
        <f>J18*J20</f>
        <v>55.228480173776873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262.12439999999998</v>
      </c>
      <c r="C30" s="39">
        <f>IF(ISERROR(B30*3.6/1000000/'E Balans VL '!Z18*100),0,B30*3.6/1000000/'E Balans VL '!Z18*100)</f>
        <v>3.6688680607867452E-2</v>
      </c>
      <c r="D30" s="237" t="s">
        <v>692</v>
      </c>
    </row>
    <row r="31" spans="1:18">
      <c r="A31" s="6" t="s">
        <v>33</v>
      </c>
      <c r="B31" s="37">
        <f>IF( ISERROR(IND_ander_ele_kWh/1000),0,IND_ander_ele_kWh/1000)</f>
        <v>2765.34</v>
      </c>
      <c r="C31" s="39">
        <f>IF(ISERROR(B31*3.6/1000000/'E Balans VL '!Z19*100),0,B31*3.6/1000000/'E Balans VL '!Z19*100)</f>
        <v>0.12103848319811718</v>
      </c>
      <c r="D31" s="237" t="s">
        <v>692</v>
      </c>
    </row>
    <row r="32" spans="1:18">
      <c r="A32" s="171" t="s">
        <v>41</v>
      </c>
      <c r="B32" s="37">
        <f>IF( ISERROR(IND_voed_ele_kWh/1000),0,IND_voed_ele_kWh/1000)</f>
        <v>3580.7280000000001</v>
      </c>
      <c r="C32" s="39">
        <f>IF(ISERROR(B32*3.6/1000000/'E Balans VL '!Z20*100),0,B32*3.6/1000000/'E Balans VL '!Z20*100)</f>
        <v>0.88646934268841837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4190.37</v>
      </c>
      <c r="C35" s="39">
        <f>IF(ISERROR(B35*3.6/1000000/'E Balans VL '!Z22*100),0,B35*3.6/1000000/'E Balans VL '!Z22*100)</f>
        <v>0.11890560480920397</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16760.091</v>
      </c>
      <c r="C37" s="39">
        <f>IF(ISERROR(B37*3.6/1000000/'E Balans VL '!Z15*100),0,B37*3.6/1000000/'E Balans VL '!Z15*100)</f>
        <v>0.12427320531599592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756.34669999999994</v>
      </c>
      <c r="C5" s="17">
        <f>'Eigen informatie GS &amp; warmtenet'!B60</f>
        <v>0</v>
      </c>
      <c r="D5" s="30">
        <f>IF(ISERROR(SUM(LB_lb_gas_kWh,LB_rest_gas_kWh,onbekend_gas_kWh)/1000),0,SUM(LB_lb_gas_kWh,LB_rest_gas_kWh,onbekend_gas_kWh)/1000)*0.902</f>
        <v>11882.682334861614</v>
      </c>
      <c r="E5" s="17">
        <f>B17*'E Balans VL '!I25/3.6*1000000/100</f>
        <v>7.0055999225176411</v>
      </c>
      <c r="F5" s="17">
        <f>B17*('E Balans VL '!L25/3.6*1000000+'E Balans VL '!N25/3.6*1000000)/100</f>
        <v>1918.9956617984885</v>
      </c>
      <c r="G5" s="18"/>
      <c r="H5" s="17"/>
      <c r="I5" s="17"/>
      <c r="J5" s="17">
        <f>('E Balans VL '!D25+'E Balans VL '!E25)/3.6*1000000*landbouw!B17/100</f>
        <v>115.95638996380745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756.34669999999994</v>
      </c>
      <c r="C8" s="21">
        <f>C5+C6</f>
        <v>0</v>
      </c>
      <c r="D8" s="21">
        <f>MAX((D5+D6),0)</f>
        <v>11882.682334861614</v>
      </c>
      <c r="E8" s="21">
        <f>MAX((E5+E6),0)</f>
        <v>7.0055999225176411</v>
      </c>
      <c r="F8" s="21">
        <f>MAX((F5+F6),0)</f>
        <v>1918.9956617984885</v>
      </c>
      <c r="G8" s="21"/>
      <c r="H8" s="21"/>
      <c r="I8" s="21"/>
      <c r="J8" s="21">
        <f>MAX((J5+J6),0)</f>
        <v>115.95638996380745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0.21347272952030077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161.45939451267205</v>
      </c>
      <c r="C12" s="23">
        <f ca="1">C8*C10</f>
        <v>0</v>
      </c>
      <c r="D12" s="23">
        <f>D8*D10</f>
        <v>2400.3018316420462</v>
      </c>
      <c r="E12" s="23">
        <f>E8*E10</f>
        <v>1.5902711824115046</v>
      </c>
      <c r="F12" s="23">
        <f>F8*F10</f>
        <v>512.37184170019646</v>
      </c>
      <c r="G12" s="23"/>
      <c r="H12" s="23"/>
      <c r="I12" s="23"/>
      <c r="J12" s="23">
        <f>J8*J10</f>
        <v>41.048562047187836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0.10753646341792381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184.50834514286467</v>
      </c>
      <c r="C26" s="247">
        <f>B26*'GWP N2O_CH4'!B5</f>
        <v>3874.6752480001583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19.44582934670651</v>
      </c>
      <c r="C27" s="247">
        <f>B27*'GWP N2O_CH4'!B5</f>
        <v>408.36241628083673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2.6244025358016936</v>
      </c>
      <c r="C28" s="247">
        <f>B28*'GWP N2O_CH4'!B4</f>
        <v>813.56478609852502</v>
      </c>
      <c r="D28" s="50"/>
    </row>
    <row r="29" spans="1:4">
      <c r="A29" s="41" t="s">
        <v>277</v>
      </c>
      <c r="B29" s="247">
        <f>B34*'ha_N2O bodem landbouw'!B4</f>
        <v>13.319011740949827</v>
      </c>
      <c r="C29" s="247">
        <f>B29*'GWP N2O_CH4'!B4</f>
        <v>4128.8936396944464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2.9872196883314328E-3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1.3788403330789053E-4</v>
      </c>
      <c r="C5" s="464" t="s">
        <v>211</v>
      </c>
      <c r="D5" s="449">
        <f>SUM(D6:D11)</f>
        <v>4.0024091566647738E-4</v>
      </c>
      <c r="E5" s="449">
        <f>SUM(E6:E11)</f>
        <v>2.7167780954538258E-3</v>
      </c>
      <c r="F5" s="462" t="s">
        <v>211</v>
      </c>
      <c r="G5" s="449">
        <f>SUM(G6:G11)</f>
        <v>0.68094064031689228</v>
      </c>
      <c r="H5" s="449">
        <f>SUM(H6:H11)</f>
        <v>0.15243825755562559</v>
      </c>
      <c r="I5" s="464" t="s">
        <v>211</v>
      </c>
      <c r="J5" s="464" t="s">
        <v>211</v>
      </c>
      <c r="K5" s="464" t="s">
        <v>211</v>
      </c>
      <c r="L5" s="464" t="s">
        <v>211</v>
      </c>
      <c r="M5" s="449">
        <f>SUM(M6:M11)</f>
        <v>4.4081970902651792E-2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4.4558641886465912E-5</v>
      </c>
      <c r="C6" s="450"/>
      <c r="D6" s="963">
        <f>vkm_2011_GW_PW*SUMIFS(TableVerdeelsleutelVkm[CNG],TableVerdeelsleutelVkm[Voertuigtype],"Lichte voertuigen")*SUMIFS(TableECFTransport[EnergieConsumptieFactor (PJ per km)],TableECFTransport[Index],CONCATENATE($A6,"_CNG_CNG"))</f>
        <v>1.0306904438665012E-4</v>
      </c>
      <c r="E6" s="963">
        <f>vkm_2011_GW_PW*SUMIFS(TableVerdeelsleutelVkm[LPG],TableVerdeelsleutelVkm[Voertuigtype],"Lichte voertuigen")*SUMIFS(TableECFTransport[EnergieConsumptieFactor (PJ per km)],TableECFTransport[Index],CONCATENATE($A6,"_LPG_LPG"))</f>
        <v>6.7112337539339208E-4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0.13942091608610196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3.9299875025358151E-2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9.2746825822918131E-3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4.99425329538195E-2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1.7079439271557754E-5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2.8894586185021129E-3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4.2516915398615386E-5</v>
      </c>
      <c r="C8" s="450"/>
      <c r="D8" s="452">
        <f>vkm_2011_NGW_PW*SUMIFS(TableVerdeelsleutelVkm[CNG],TableVerdeelsleutelVkm[Voertuigtype],"Lichte voertuigen")*SUMIFS(TableECFTransport[EnergieConsumptieFactor (PJ per km)],TableECFTransport[Index],CONCATENATE($A8,"_CNG_CNG"))</f>
        <v>1.739458746180104E-4</v>
      </c>
      <c r="E8" s="452">
        <f>vkm_2011_NGW_PW*SUMIFS(TableVerdeelsleutelVkm[LPG],TableVerdeelsleutelVkm[Voertuigtype],"Lichte voertuigen")*SUMIFS(TableECFTransport[EnergieConsumptieFactor (PJ per km)],TableECFTransport[Index],CONCATENATE($A8,"_LPG_LPG"))</f>
        <v>1.0453001080749696E-3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0.20299574537485338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6.4131563805928507E-2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1.3716629558920855E-2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2.5397113879349599E-2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8.2182102083850342E-6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1.4693526141832569E-3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5.0808476022809243E-5</v>
      </c>
      <c r="C10" s="450"/>
      <c r="D10" s="452">
        <f>vkm_2011_SW_PW*SUMIFS(TableVerdeelsleutelVkm[CNG],TableVerdeelsleutelVkm[Voertuigtype],"Lichte voertuigen")*SUMIFS(TableECFTransport[EnergieConsumptieFactor (PJ per km)],TableECFTransport[Index],CONCATENATE($A10,"_CNG_CNG"))</f>
        <v>1.2322599666181685E-4</v>
      </c>
      <c r="E10" s="452">
        <f>vkm_2011_SW_PW*SUMIFS(TableVerdeelsleutelVkm[LPG],TableVerdeelsleutelVkm[Voertuigtype],"Lichte voertuigen")*SUMIFS(TableECFTransport[EnergieConsumptieFactor (PJ per km)],TableECFTransport[Index],CONCATENATE($A10,"_LPG_LPG"))</f>
        <v>1.0003546119854644E-3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0.18709503510798139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4.8953477431423024E-2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1.2329588145608229E-2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7.6089296914786331E-2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2.8043643435986047E-5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4.4022593831455261E-3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38.301120363302921</v>
      </c>
      <c r="C14" s="21"/>
      <c r="D14" s="21">
        <f t="shared" ref="D14:M14" si="0">((D5)*10^9/3600)+D12</f>
        <v>111.17803212957706</v>
      </c>
      <c r="E14" s="21">
        <f t="shared" si="0"/>
        <v>754.66058207050719</v>
      </c>
      <c r="F14" s="21"/>
      <c r="G14" s="21">
        <f t="shared" si="0"/>
        <v>189150.17786580342</v>
      </c>
      <c r="H14" s="21">
        <f t="shared" si="0"/>
        <v>42343.96043211822</v>
      </c>
      <c r="I14" s="21"/>
      <c r="J14" s="21"/>
      <c r="K14" s="21"/>
      <c r="L14" s="21"/>
      <c r="M14" s="21">
        <f t="shared" si="0"/>
        <v>12244.991917403277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0.21347272952030077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8.1762447076398495</v>
      </c>
      <c r="C18" s="23"/>
      <c r="D18" s="23">
        <f t="shared" ref="D18:M18" si="1">D14*D16</f>
        <v>22.45796249017457</v>
      </c>
      <c r="E18" s="23">
        <f t="shared" si="1"/>
        <v>171.30795213000513</v>
      </c>
      <c r="F18" s="23"/>
      <c r="G18" s="23">
        <f t="shared" si="1"/>
        <v>50503.097490169515</v>
      </c>
      <c r="H18" s="23">
        <f t="shared" si="1"/>
        <v>10543.646147597437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1.6000006619030897E-2</v>
      </c>
      <c r="H50" s="321">
        <f t="shared" si="2"/>
        <v>0</v>
      </c>
      <c r="I50" s="321">
        <f t="shared" si="2"/>
        <v>0</v>
      </c>
      <c r="J50" s="321">
        <f t="shared" si="2"/>
        <v>0</v>
      </c>
      <c r="K50" s="321">
        <f t="shared" si="2"/>
        <v>0</v>
      </c>
      <c r="L50" s="321">
        <f t="shared" si="2"/>
        <v>0</v>
      </c>
      <c r="M50" s="321">
        <f t="shared" si="2"/>
        <v>9.1243373494441927E-4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1.6000006619030897E-2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9.1243373494441927E-4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4444.4462830641378</v>
      </c>
      <c r="H54" s="21">
        <f t="shared" si="3"/>
        <v>0</v>
      </c>
      <c r="I54" s="21">
        <f t="shared" si="3"/>
        <v>0</v>
      </c>
      <c r="J54" s="21">
        <f t="shared" si="3"/>
        <v>0</v>
      </c>
      <c r="K54" s="21">
        <f t="shared" si="3"/>
        <v>0</v>
      </c>
      <c r="L54" s="21">
        <f t="shared" si="3"/>
        <v>0</v>
      </c>
      <c r="M54" s="21">
        <f t="shared" si="3"/>
        <v>253.45381526233868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0.21347272952030077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1186.6671575781249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4342.5230859220301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4342.5230859220301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2018-06-27T09:35:35Z</dcterms:modified>
</cp:coreProperties>
</file>