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<sst xmlns="http://schemas.openxmlformats.org/spreadsheetml/2006/main" count="1959" uniqueCount="840">
  <si>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</si>
  <si>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</si>
  <si>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</si>
  <si>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</si>
  <si>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</si>
  <si>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</si>
  <si>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</si>
  <si>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</si>
  <si>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</si>
  <si>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</si>
  <si>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</si>
  <si>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</si>
  <si>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</si>
  <si>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</si>
  <si>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</si>
  <si>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</si>
  <si>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</si>
  <si>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</si>
  <si>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</si>
  <si>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</si>
  <si>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</si>
  <si>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</si>
  <si>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</si>
  <si>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</si>
  <si>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</si>
  <si>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</si>
  <si>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</si>
  <si>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</si>
  <si>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</si>
  <si>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</si>
  <si>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</si>
  <si>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</si>
  <si>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</si>
  <si>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</si>
  <si>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</si>
  <si>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</si>
  <si>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</si>
  <si>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</si>
  <si>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</si>
  <si>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</si>
  <si>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</si>
  <si>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</si>
  <si>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</si>
  <si>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</si>
  <si>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</si>
  <si>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</si>
  <si>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</si>
  <si>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</si>
  <si>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</si>
  <si>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</si>
  <si>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</si>
  <si>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</si>
  <si>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</si>
  <si>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</si>
  <si>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</si>
  <si>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</si>
  <si>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</si>
  <si>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</si>
  <si>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</si>
  <si>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</si>
  <si>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</si>
  <si>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</si>
  <si>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</si>
  <si>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</si>
  <si>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</si>
  <si>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</si>
  <si>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</si>
  <si>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</si>
  <si>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</si>
  <si>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</si>
  <si>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</si>
  <si>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</si>
  <si>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</si>
  <si>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</si>
  <si>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</si>
  <si>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</si>
  <si>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</si>
  <si>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</si>
  <si>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</si>
  <si>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</si>
  <si>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</si>
  <si>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</si>
  <si>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</si>
  <si>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</si>
  <si>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</si>
  <si>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</si>
  <si>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</si>
  <si>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</si>
  <si>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</si>
  <si>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</si>
  <si>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</si>
  <si>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</si>
  <si>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</si>
  <si>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</si>
  <si>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</si>
  <si>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</si>
  <si>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</si>
  <si>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</si>
  <si>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</si>
  <si>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</si>
  <si>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</si>
  <si>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</si>
  <si>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</si>
  <si>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</si>
  <si>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</si>
  <si>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</si>
  <si>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</si>
  <si>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</si>
  <si>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</si>
  <si>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</si>
  <si>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</si>
  <si>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</si>
  <si>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</si>
  <si>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</si>
  <si>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</si>
  <si>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</si>
  <si>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</si>
  <si>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</si>
  <si>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</si>
  <si>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</si>
  <si>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</si>
  <si>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</si>
  <si>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</si>
  <si>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</si>
  <si>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</si>
  <si>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</si>
  <si>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</si>
  <si>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</si>
  <si>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</si>
  <si>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</si>
  <si>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</si>
  <si>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</si>
  <si>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</si>
  <si>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</si>
  <si>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</si>
  <si>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</si>
  <si>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</si>
  <si>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</si>
  <si>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</si>
  <si>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</si>
  <si>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</si>
  <si>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</si>
  <si>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</si>
  <si>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</si>
  <si>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</si>
  <si>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</si>
  <si>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</si>
  <si>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</si>
  <si>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</si>
  <si>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</si>
  <si>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</si>
  <si>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</si>
  <si>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</si>
  <si>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</si>
  <si>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</si>
  <si>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</si>
  <si>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</si>
  <si>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</si>
  <si>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</si>
  <si>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</si>
  <si>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</si>
  <si>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</si>
  <si>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</si>
  <si>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</si>
  <si>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</si>
  <si>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</si>
  <si>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</si>
  <si>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</si>
  <si>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</si>
  <si>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</si>
  <si>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</si>
  <si>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</si>
  <si>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</si>
  <si>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</si>
  <si>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</si>
  <si>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</si>
  <si>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</si>
  <si>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</si>
  <si>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</si>
  <si>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</si>
  <si>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</si>
  <si>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</si>
  <si>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</si>
  <si>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</si>
  <si>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</si>
  <si>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</si>
  <si>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</si>
  <si>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</si>
  <si>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</si>
  <si>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</si>
  <si>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</si>
  <si>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</si>
  <si>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</si>
  <si>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</si>
  <si>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</si>
  <si>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</si>
  <si>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</si>
  <si>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</si>
  <si>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</si>
  <si>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</si>
  <si>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</si>
  <si>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</si>
  <si>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</si>
  <si>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</si>
  <si>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</si>
  <si>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</si>
  <si>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</si>
  <si>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</si>
  <si>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</si>
  <si>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</si>
  <si>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</si>
  <si>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</si>
  <si>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</si>
  <si>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</si>
  <si>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</si>
  <si>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</si>
  <si>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</si>
  <si>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</si>
  <si>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</si>
  <si>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</si>
  <si>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</si>
  <si>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</si>
  <si>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</si>
  <si>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</si>
  <si>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</si>
  <si>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</si>
  <si>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</si>
  <si>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</si>
  <si>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</si>
  <si>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</si>
  <si>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</si>
  <si>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</si>
  <si>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</si>
  <si>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</si>
  <si>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</si>
  <si>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</si>
  <si>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</si>
  <si>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</si>
  <si>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</si>
  <si>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</si>
  <si>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</si>
  <si>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</si>
  <si>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</si>
  <si>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</si>
  <si>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</si>
  <si>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</si>
  <si>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</si>
  <si>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</si>
  <si>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</si>
  <si>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</si>
  <si>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</si>
  <si>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</si>
  <si>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</si>
  <si>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</si>
  <si>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</si>
  <si>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</si>
  <si>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</si>
  <si>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</si>
  <si>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</si>
  <si>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</si>
  <si>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</si>
  <si>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</si>
  <si>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</si>
  <si>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</si>
  <si>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</si>
  <si>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</si>
  <si>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</si>
  <si>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</si>
  <si>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</si>
  <si>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</si>
  <si>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</si>
  <si>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</si>
  <si>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</si>
  <si>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</si>
  <si>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</si>
  <si>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</si>
  <si>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</si>
  <si>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</si>
  <si>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</si>
  <si>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</si>
  <si>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</si>
  <si>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</si>
  <si>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</si>
  <si>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</si>
  <si>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</si>
  <si>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</si>
  <si>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</si>
  <si>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</si>
  <si>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</si>
  <si>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</si>
  <si>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</si>
  <si>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</si>
  <si>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</si>
  <si>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</si>
  <si>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</si>
  <si>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</si>
  <si>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</si>
  <si>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</si>
  <si>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</si>
  <si>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</si>
  <si>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</si>
  <si>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</si>
  <si>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</si>
  <si>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</si>
  <si>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</si>
  <si>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</si>
  <si>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</si>
  <si>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</si>
  <si>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</si>
  <si>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</si>
  <si>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</si>
  <si>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</si>
  <si>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</si>
  <si>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</si>
  <si>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</si>
  <si>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</si>
  <si>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</si>
  <si>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</si>
  <si>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</si>
  <si>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</si>
  <si>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</si>
  <si>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</si>
  <si>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</si>
  <si>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</si>
  <si>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</si>
  <si>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</si>
  <si>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</si>
  <si>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</si>
  <si>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</si>
  <si>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</si>
  <si>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</si>
  <si>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</si>
  <si>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</si>
  <si>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</si>
  <si>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</si>
  <si>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</si>
  <si>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</si>
  <si>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</si>
  <si>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</si>
  <si>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</si>
  <si>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</si>
  <si>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</si>
  <si>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</si>
  <si>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</si>
  <si>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</si>
  <si>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</si>
  <si>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</si>
  <si>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</si>
  <si>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</si>
  <si>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</si>
  <si>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</si>
  <si>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</si>
  <si>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</si>
  <si>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</si>
  <si>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</si>
  <si>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</si>
  <si>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</si>
  <si>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</si>
  <si>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</si>
  <si>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</si>
  <si>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</si>
  <si>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</si>
  <si>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</si>
  <si>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</si>
  <si>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</si>
  <si>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</si>
  <si>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</si>
  <si>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</si>
  <si>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</si>
  <si>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</si>
  <si>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</si>
  <si>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</si>
  <si>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</si>
  <si>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</si>
  <si>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</si>
  <si>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</si>
  <si>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</si>
  <si>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</si>
  <si>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</si>
  <si>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</si>
  <si>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</si>
  <si>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</si>
  <si>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</si>
  <si>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</si>
  <si>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</si>
  <si>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</si>
  <si>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</si>
  <si>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</si>
  <si>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</si>
  <si>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</si>
  <si>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</si>
  <si>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</si>
  <si>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</si>
  <si>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</si>
  <si>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</si>
  <si>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</si>
  <si>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</si>
  <si>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</si>
  <si>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</si>
  <si>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</si>
  <si>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</si>
  <si>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</si>
  <si>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</si>
  <si>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</si>
  <si>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</si>
  <si>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</si>
  <si>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</si>
  <si>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</si>
  <si>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</si>
  <si>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</si>
  <si>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</si>
  <si>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</si>
  <si>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</si>
  <si>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</si>
  <si>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</si>
  <si>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</si>
  <si>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</si>
  <si>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</si>
  <si>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</si>
  <si>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</si>
  <si>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</si>
  <si>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</si>
  <si>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</si>
  <si>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</si>
  <si>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</si>
  <si>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</si>
  <si>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</si>
  <si>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</si>
  <si>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</si>
  <si>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</si>
  <si>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</si>
  <si>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</si>
  <si>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</si>
  <si>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</si>
  <si>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</si>
  <si>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</si>
  <si>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</si>
  <si>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</si>
  <si>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</si>
  <si>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</si>
  <si>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</si>
  <si>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</si>
  <si>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</si>
  <si>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</si>
  <si>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</si>
  <si>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</si>
  <si>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</si>
  <si>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</si>
  <si>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</si>
  <si>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</si>
  <si>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</si>
  <si>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</si>
  <si>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</si>
  <si>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</si>
  <si>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</si>
  <si>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</si>
  <si>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</si>
  <si>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</si>
  <si>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</si>
  <si>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</si>
  <si>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</si>
  <si>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</si>
  <si>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</si>
  <si>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</si>
  <si>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</si>
  <si>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</si>
  <si>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</si>
  <si>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</si>
  <si>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</si>
  <si>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</si>
  <si>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</si>
  <si>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</si>
  <si>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</si>
  <si>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</si>
  <si>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</si>
  <si>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</si>
  <si>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</si>
  <si>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</si>
  <si>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</si>
  <si>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</si>
  <si>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</si>
  <si>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</si>
  <si>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</si>
  <si>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</si>
  <si>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</si>
  <si>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</si>
  <si>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</si>
  <si>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</si>
  <si>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</si>
  <si>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</si>
  <si>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</si>
  <si>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</si>
  <si>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</si>
  <si>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</si>
  <si>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</si>
  <si>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</si>
  <si>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</si>
  <si>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</si>
  <si>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</si>
  <si>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</si>
  <si>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</si>
  <si>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</si>
  <si>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</si>
  <si>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</si>
  <si>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</si>
  <si>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</si>
  <si>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</si>
  <si>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</si>
  <si>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</si>
  <si>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</si>
  <si>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</si>
  <si>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</si>
  <si>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</si>
  <si>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</si>
  <si>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</si>
  <si>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</si>
  <si>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</si>
  <si>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</si>
  <si>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</si>
  <si>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</si>
  <si>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</si>
  <si>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</si>
  <si>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</si>
  <si>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</si>
  <si>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</si>
  <si>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</si>
  <si>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</si>
  <si>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</si>
  <si>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</si>
  <si>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</si>
  <si>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</si>
  <si>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</si>
  <si>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</si>
  <si>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</si>
  <si>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</si>
  <si>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</si>
  <si>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</si>
  <si>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</si>
  <si>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</si>
  <si>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</si>
  <si>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</si>
  <si>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</si>
  <si>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</si>
  <si>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</si>
  <si>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</si>
  <si>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</si>
  <si>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</si>
  <si>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</si>
  <si>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</si>
  <si>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</si>
  <si>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</si>
  <si>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</si>
  <si>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</si>
  <si>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</si>
  <si>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</si>
  <si>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</si>
  <si>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</si>
  <si>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</si>
  <si>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</si>
  <si>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</si>
  <si>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</si>
  <si>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</si>
  <si>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</si>
  <si>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</si>
  <si>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</si>
  <si>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</si>
  <si>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</si>
  <si>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</si>
  <si>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</si>
  <si>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</si>
  <si>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</si>
  <si>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</si>
  <si>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</si>
  <si>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</si>
  <si>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</si>
  <si>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</si>
  <si>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</si>
  <si>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</si>
  <si>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</si>
  <si>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</si>
  <si>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</si>
  <si>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</si>
  <si>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</si>
  <si>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</si>
  <si>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</si>
  <si>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</si>
  <si>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</si>
  <si>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</si>
  <si>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</si>
  <si>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</si>
  <si>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</si>
  <si>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</si>
  <si>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</si>
  <si>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</si>
  <si>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</si>
  <si>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</si>
  <si>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</si>
  <si>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</si>
  <si>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</si>
  <si>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</si>
  <si>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</si>
  <si>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</si>
  <si>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</si>
  <si>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</si>
  <si>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</si>
  <si>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</si>
  <si>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</si>
  <si>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</si>
  <si>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</si>
  <si>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</si>
  <si>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</si>
  <si>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</si>
  <si>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</si>
  <si>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</si>
  <si>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</si>
  <si>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</si>
  <si>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</si>
  <si>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</si>
  <si>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</si>
  <si>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</si>
  <si>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</si>
  <si>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</si>
  <si>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</si>
  <si>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</si>
  <si>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</si>
  <si>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</si>
  <si>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</si>
  <si>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</si>
  <si>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</si>
  <si>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</si>
  <si>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</si>
  <si>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</si>
  <si>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</si>
  <si>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</si>
  <si>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</si>
  <si>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</si>
  <si>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</si>
  <si>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</si>
  <si>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</si>
  <si>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</si>
  <si>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</si>
  <si>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</si>
  <si>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</si>
  <si>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</si>
  <si>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</si>
  <si>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</si>
  <si>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</si>
  <si>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</si>
  <si>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</si>
  <si>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</si>
  <si>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</si>
  <si>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</si>
  <si>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</si>
  <si>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</si>
  <si>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</si>
  <si>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</si>
  <si>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</si>
  <si>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</si>
  <si>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</si>
  <si>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</si>
  <si>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</si>
  <si>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</si>
  <si>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</si>
  <si>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</si>
  <si>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</si>
  <si>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</si>
  <si>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</si>
  <si>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</si>
  <si>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</si>
  <si>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</si>
  <si>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</si>
  <si>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</si>
  <si>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</si>
  <si>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</si>
  <si>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</si>
  <si>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</si>
  <si>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</si>
  <si>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</si>
  <si>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</si>
  <si>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</si>
  <si>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</si>
  <si>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</si>
  <si>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</si>
  <si>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</si>
  <si>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</si>
  <si>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</si>
  <si>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</si>
  <si>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</si>
  <si>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</si>
  <si>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</si>
  <si>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</si>
  <si>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</si>
  <si>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</si>
  <si>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</si>
  <si>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</si>
  <si>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</si>
  <si>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</si>
  <si>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</si>
  <si>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</si>
  <si>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</si>
  <si>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</si>
  <si>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</si>
  <si>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</si>
  <si>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</si>
  <si>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</si>
  <si>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</si>
  <si>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</si>
  <si>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</si>
  <si>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</si>
  <si>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</si>
  <si>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</si>
  <si>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</si>
  <si>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</si>
  <si>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</si>
  <si>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</si>
  <si>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</si>
  <si>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</si>
  <si>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</si>
  <si>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</si>
  <si>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</si>
  <si>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</si>
  <si>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</si>
  <si>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</si>
  <si>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</si>
  <si>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</si>
  <si>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</si>
  <si>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</si>
  <si>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</si>
  <si>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</si>
  <si>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</si>
  <si>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</si>
  <si>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</si>
  <si>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</si>
  <si>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</si>
  <si>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</si>
  <si>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</si>
  <si>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</si>
  <si>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</si>
  <si>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</si>
  <si>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</si>
  <si>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</si>
  <si>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</si>
  <si>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</si>
  <si>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</si>
  <si>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</si>
  <si>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</si>
  <si>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</si>
  <si>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</si>
  <si>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</si>
  <si>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</si>
  <si>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</si>
  <si>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</si>
  <si>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</si>
  <si>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</si>
  <si>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</si>
  <si>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</si>
  <si>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</si>
  <si>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</si>
  <si>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</si>
  <si>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</si>
  <si>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</si>
  <si>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</si>
  <si>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</si>
  <si>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</si>
  <si>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</si>
  <si>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</si>
  <si>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</si>
  <si>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</si>
  <si>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</si>
  <si>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</si>
  <si>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</si>
  <si>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</si>
  <si>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</si>
  <si>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</si>
  <si>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</si>
  <si>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</si>
  <si>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</si>
  <si>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</si>
  <si>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</si>
  <si>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</si>
  <si>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</si>
  <si>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</si>
  <si>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</si>
  <si>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</si>
  <si>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</si>
  <si>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</si>
  <si>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</si>
  <si>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</si>
  <si>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</si>
  <si>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</si>
  <si>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</si>
  <si>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</si>
  <si>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</si>
  <si>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</si>
  <si>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</si>
  <si>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</si>
  <si>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</si>
  <si>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</si>
  <si>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</si>
  <si>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</si>
  <si>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</si>
  <si>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</si>
  <si>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</si>
  <si>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</si>
  <si>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</si>
  <si>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</si>
  <si>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</si>
  <si>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</si>
  <si>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</si>
  <si>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</si>
  <si>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</si>
  <si>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</si>
  <si>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</si>
  <si>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</si>
  <si>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</si>
  <si>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</si>
  <si>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</si>
  <si>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</si>
  <si>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</si>
  <si>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</si>
  <si>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</si>
  <si>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</si>
  <si>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</si>
  <si>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</si>
  <si>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</si>
  <si>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</si>
  <si>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23024</t>
  </si>
  <si>
    <t>GOOIK</t>
  </si>
  <si>
    <t>Paarden&amp;pony's 200 - 600 kg</t>
  </si>
  <si>
    <t>Paarden&amp;pony's &lt; 200 kg</t>
  </si>
  <si>
    <t>referentietaak LNE (2017); Jaarverslag De Lijn (2014)</t>
  </si>
  <si>
    <t>op basis van VEA (maart 2018) en Inventaris Hernieuwbare Energiebronnen (juni 2018)</t>
  </si>
  <si>
    <t>VEA (maart 2016)</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</si>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</sst>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85789.377641476996</c:v>
                </c:pt>
                <c:pt idx="1">
                  <c:v>13195.21407937925</c:v>
                </c:pt>
                <c:pt idx="2">
                  <c:v>531.82899999999995</c:v>
                </c:pt>
                <c:pt idx="3">
                  <c:v>4003.2758130081993</c:v>
                </c:pt>
                <c:pt idx="4">
                  <c:v>5294.5707494540966</c:v>
                </c:pt>
                <c:pt idx="5">
                  <c:v>66302.461171446601</c:v>
                </c:pt>
                <c:pt idx="6">
                  <c:v>2469.5463371253163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85789.377641476996</c:v>
                </c:pt>
                <c:pt idx="1">
                  <c:v>13195.21407937925</c:v>
                </c:pt>
                <c:pt idx="2">
                  <c:v>531.82899999999995</c:v>
                </c:pt>
                <c:pt idx="3">
                  <c:v>4003.2758130081993</c:v>
                </c:pt>
                <c:pt idx="4">
                  <c:v>5294.5707494540966</c:v>
                </c:pt>
                <c:pt idx="5">
                  <c:v>66302.461171446601</c:v>
                </c:pt>
                <c:pt idx="6">
                  <c:v>2469.5463371253163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18319.765901789677</c:v>
                </c:pt>
                <c:pt idx="1">
                  <c:v>2605.6359556938492</c:v>
                </c:pt>
                <c:pt idx="2">
                  <c:v>106.00718160190331</c:v>
                </c:pt>
                <c:pt idx="3">
                  <c:v>990.96591916318221</c:v>
                </c:pt>
                <c:pt idx="4">
                  <c:v>1072.3415215920238</c:v>
                </c:pt>
                <c:pt idx="5">
                  <c:v>16617.762804786813</c:v>
                </c:pt>
                <c:pt idx="6">
                  <c:v>623.79562592825368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18319.765901789677</c:v>
                </c:pt>
                <c:pt idx="1">
                  <c:v>2605.6359556938492</c:v>
                </c:pt>
                <c:pt idx="2">
                  <c:v>106.00718160190331</c:v>
                </c:pt>
                <c:pt idx="3">
                  <c:v>990.96591916318221</c:v>
                </c:pt>
                <c:pt idx="4">
                  <c:v>1072.3415215920238</c:v>
                </c:pt>
                <c:pt idx="5">
                  <c:v>16617.762804786813</c:v>
                </c:pt>
                <c:pt idx="6">
                  <c:v>623.79562592825368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23024</v>
      </c>
      <c r="B6" s="416"/>
      <c r="C6" s="417"/>
    </row>
    <row r="7" spans="1:7" s="414" customFormat="1" ht="15.75" customHeight="1">
      <c r="A7" s="418" t="str">
        <f>txtMunicipality</f>
        <v>GOOIK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3608</v>
      </c>
      <c r="C9" s="342">
        <v>3609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2673</v>
      </c>
    </row>
    <row r="15" spans="1:6">
      <c r="A15" s="348" t="s">
        <v>184</v>
      </c>
      <c r="B15" s="334">
        <v>49</v>
      </c>
    </row>
    <row r="16" spans="1:6">
      <c r="A16" s="348" t="s">
        <v>6</v>
      </c>
      <c r="B16" s="334">
        <v>1534</v>
      </c>
    </row>
    <row r="17" spans="1:6">
      <c r="A17" s="348" t="s">
        <v>7</v>
      </c>
      <c r="B17" s="334">
        <v>676</v>
      </c>
    </row>
    <row r="18" spans="1:6">
      <c r="A18" s="348" t="s">
        <v>8</v>
      </c>
      <c r="B18" s="334">
        <v>1192</v>
      </c>
    </row>
    <row r="19" spans="1:6">
      <c r="A19" s="348" t="s">
        <v>9</v>
      </c>
      <c r="B19" s="334">
        <v>1117</v>
      </c>
    </row>
    <row r="20" spans="1:6">
      <c r="A20" s="348" t="s">
        <v>10</v>
      </c>
      <c r="B20" s="334">
        <v>838</v>
      </c>
    </row>
    <row r="21" spans="1:6">
      <c r="A21" s="348" t="s">
        <v>11</v>
      </c>
      <c r="B21" s="334">
        <v>327</v>
      </c>
    </row>
    <row r="22" spans="1:6">
      <c r="A22" s="348" t="s">
        <v>12</v>
      </c>
      <c r="B22" s="334">
        <v>1213</v>
      </c>
    </row>
    <row r="23" spans="1:6">
      <c r="A23" s="348" t="s">
        <v>13</v>
      </c>
      <c r="B23" s="334">
        <v>11</v>
      </c>
    </row>
    <row r="24" spans="1:6">
      <c r="A24" s="348" t="s">
        <v>14</v>
      </c>
      <c r="B24" s="334">
        <v>4</v>
      </c>
    </row>
    <row r="25" spans="1:6">
      <c r="A25" s="348" t="s">
        <v>15</v>
      </c>
      <c r="B25" s="334">
        <v>163</v>
      </c>
    </row>
    <row r="26" spans="1:6">
      <c r="A26" s="348" t="s">
        <v>16</v>
      </c>
      <c r="B26" s="334">
        <v>246</v>
      </c>
    </row>
    <row r="27" spans="1:6">
      <c r="A27" s="348" t="s">
        <v>17</v>
      </c>
      <c r="B27" s="334">
        <v>107</v>
      </c>
    </row>
    <row r="28" spans="1:6" s="356" customFormat="1">
      <c r="A28" s="355" t="s">
        <v>18</v>
      </c>
      <c r="B28" s="355">
        <v>2038</v>
      </c>
    </row>
    <row r="29" spans="1:6">
      <c r="A29" s="355" t="s">
        <v>828</v>
      </c>
      <c r="B29" s="355">
        <v>161</v>
      </c>
      <c r="C29" s="356"/>
      <c r="D29" s="356"/>
      <c r="E29" s="356"/>
      <c r="F29" s="356"/>
    </row>
    <row r="30" spans="1:6">
      <c r="A30" s="341" t="s">
        <v>829</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9990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1125</v>
      </c>
      <c r="D39" s="334">
        <v>20096450</v>
      </c>
      <c r="E39" s="334">
        <v>3436</v>
      </c>
      <c r="F39" s="334">
        <v>14905213.220000001</v>
      </c>
    </row>
    <row r="40" spans="1:6">
      <c r="A40" s="348" t="s">
        <v>30</v>
      </c>
      <c r="B40" s="348" t="s">
        <v>29</v>
      </c>
      <c r="C40" s="334">
        <v>0</v>
      </c>
      <c r="D40" s="334">
        <v>0</v>
      </c>
      <c r="E40" s="334">
        <v>0</v>
      </c>
      <c r="F40" s="334">
        <v>0</v>
      </c>
    </row>
    <row r="41" spans="1:6">
      <c r="A41" s="348" t="s">
        <v>32</v>
      </c>
      <c r="B41" s="348" t="s">
        <v>33</v>
      </c>
      <c r="C41" s="334">
        <v>17</v>
      </c>
      <c r="D41" s="334">
        <v>467803</v>
      </c>
      <c r="E41" s="334">
        <v>89</v>
      </c>
      <c r="F41" s="334">
        <v>698690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164035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69813</v>
      </c>
    </row>
    <row r="48" spans="1:6">
      <c r="A48" s="348" t="s">
        <v>32</v>
      </c>
      <c r="B48" s="348" t="s">
        <v>29</v>
      </c>
      <c r="C48" s="334">
        <v>3</v>
      </c>
      <c r="D48" s="334">
        <v>100070</v>
      </c>
      <c r="E48" s="334">
        <v>1</v>
      </c>
      <c r="F48" s="334">
        <v>15935</v>
      </c>
    </row>
    <row r="49" spans="1:6">
      <c r="A49" s="348" t="s">
        <v>32</v>
      </c>
      <c r="B49" s="348" t="s">
        <v>40</v>
      </c>
      <c r="C49" s="334">
        <v>0</v>
      </c>
      <c r="D49" s="334">
        <v>0</v>
      </c>
      <c r="E49" s="334">
        <v>0</v>
      </c>
      <c r="F49" s="334">
        <v>0</v>
      </c>
    </row>
    <row r="50" spans="1:6">
      <c r="A50" s="348" t="s">
        <v>32</v>
      </c>
      <c r="B50" s="348" t="s">
        <v>41</v>
      </c>
      <c r="C50" s="334">
        <v>0</v>
      </c>
      <c r="D50" s="334">
        <v>0</v>
      </c>
      <c r="E50" s="334">
        <v>20</v>
      </c>
      <c r="F50" s="334">
        <v>801900</v>
      </c>
    </row>
    <row r="51" spans="1:6">
      <c r="A51" s="348" t="s">
        <v>42</v>
      </c>
      <c r="B51" s="348" t="s">
        <v>43</v>
      </c>
      <c r="C51" s="334">
        <v>8</v>
      </c>
      <c r="D51" s="334">
        <v>210627</v>
      </c>
      <c r="E51" s="334">
        <v>94</v>
      </c>
      <c r="F51" s="334">
        <v>1020853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531829</v>
      </c>
    </row>
    <row r="55" spans="1:6">
      <c r="A55" s="348" t="s">
        <v>46</v>
      </c>
      <c r="B55" s="348" t="s">
        <v>29</v>
      </c>
      <c r="C55" s="334">
        <v>0</v>
      </c>
      <c r="D55" s="334">
        <v>0</v>
      </c>
      <c r="E55" s="334">
        <v>0</v>
      </c>
      <c r="F55" s="334">
        <v>0</v>
      </c>
    </row>
    <row r="56" spans="1:6">
      <c r="A56" s="348" t="s">
        <v>48</v>
      </c>
      <c r="B56" s="348" t="s">
        <v>29</v>
      </c>
      <c r="C56" s="334">
        <v>19</v>
      </c>
      <c r="D56" s="334">
        <v>364234</v>
      </c>
      <c r="E56" s="334">
        <v>77</v>
      </c>
      <c r="F56" s="334">
        <v>836428</v>
      </c>
    </row>
    <row r="57" spans="1:6">
      <c r="A57" s="348" t="s">
        <v>49</v>
      </c>
      <c r="B57" s="348" t="s">
        <v>50</v>
      </c>
      <c r="C57" s="334">
        <v>12</v>
      </c>
      <c r="D57" s="334">
        <v>341640</v>
      </c>
      <c r="E57" s="334">
        <v>55</v>
      </c>
      <c r="F57" s="334">
        <v>647009</v>
      </c>
    </row>
    <row r="58" spans="1:6">
      <c r="A58" s="348" t="s">
        <v>49</v>
      </c>
      <c r="B58" s="348" t="s">
        <v>51</v>
      </c>
      <c r="C58" s="334">
        <v>7</v>
      </c>
      <c r="D58" s="334">
        <v>479200</v>
      </c>
      <c r="E58" s="334">
        <v>27</v>
      </c>
      <c r="F58" s="334">
        <v>730893</v>
      </c>
    </row>
    <row r="59" spans="1:6">
      <c r="A59" s="348" t="s">
        <v>49</v>
      </c>
      <c r="B59" s="348" t="s">
        <v>52</v>
      </c>
      <c r="C59" s="334">
        <v>24</v>
      </c>
      <c r="D59" s="334">
        <v>1187618</v>
      </c>
      <c r="E59" s="334">
        <v>85</v>
      </c>
      <c r="F59" s="334">
        <v>2506651</v>
      </c>
    </row>
    <row r="60" spans="1:6">
      <c r="A60" s="348" t="s">
        <v>49</v>
      </c>
      <c r="B60" s="348" t="s">
        <v>53</v>
      </c>
      <c r="C60" s="334">
        <v>19</v>
      </c>
      <c r="D60" s="334">
        <v>1441375</v>
      </c>
      <c r="E60" s="334">
        <v>37</v>
      </c>
      <c r="F60" s="334">
        <v>870794</v>
      </c>
    </row>
    <row r="61" spans="1:6">
      <c r="A61" s="348" t="s">
        <v>49</v>
      </c>
      <c r="B61" s="348" t="s">
        <v>54</v>
      </c>
      <c r="C61" s="334">
        <v>42</v>
      </c>
      <c r="D61" s="334">
        <v>2242618</v>
      </c>
      <c r="E61" s="334">
        <v>181</v>
      </c>
      <c r="F61" s="334">
        <v>1663725</v>
      </c>
    </row>
    <row r="62" spans="1:6">
      <c r="A62" s="348" t="s">
        <v>49</v>
      </c>
      <c r="B62" s="348" t="s">
        <v>55</v>
      </c>
      <c r="C62" s="334">
        <v>0</v>
      </c>
      <c r="D62" s="334">
        <v>0</v>
      </c>
      <c r="E62" s="334">
        <v>0</v>
      </c>
      <c r="F62" s="334">
        <v>0</v>
      </c>
    </row>
    <row r="63" spans="1:6">
      <c r="A63" s="348" t="s">
        <v>49</v>
      </c>
      <c r="B63" s="348" t="s">
        <v>29</v>
      </c>
      <c r="C63" s="334">
        <v>1</v>
      </c>
      <c r="D63" s="334">
        <v>71155</v>
      </c>
      <c r="E63" s="334">
        <v>3</v>
      </c>
      <c r="F63" s="334">
        <v>44338.75</v>
      </c>
    </row>
    <row r="64" spans="1:6">
      <c r="A64" s="348" t="s">
        <v>56</v>
      </c>
      <c r="B64" s="348" t="s">
        <v>57</v>
      </c>
      <c r="C64" s="334">
        <v>0</v>
      </c>
      <c r="D64" s="334">
        <v>0</v>
      </c>
      <c r="E64" s="334">
        <v>0</v>
      </c>
      <c r="F64" s="334">
        <v>0</v>
      </c>
    </row>
    <row r="65" spans="1:6">
      <c r="A65" s="348" t="s">
        <v>56</v>
      </c>
      <c r="B65" s="348" t="s">
        <v>29</v>
      </c>
      <c r="C65" s="334">
        <v>0</v>
      </c>
      <c r="D65" s="334">
        <v>0</v>
      </c>
      <c r="E65" s="334">
        <v>1</v>
      </c>
      <c r="F65" s="334">
        <v>6038.0609999999997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153408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58730433</v>
      </c>
      <c r="E73" s="477">
        <v>62328016.809997126</v>
      </c>
    </row>
    <row r="74" spans="1:6">
      <c r="A74" s="348" t="s">
        <v>64</v>
      </c>
      <c r="B74" s="348" t="s">
        <v>714</v>
      </c>
      <c r="C74" s="1229" t="s">
        <v>716</v>
      </c>
      <c r="D74" s="477">
        <v>6678238.1297093611</v>
      </c>
      <c r="E74" s="477">
        <v>6988210.2085557384</v>
      </c>
    </row>
    <row r="75" spans="1:6">
      <c r="A75" s="348" t="s">
        <v>65</v>
      </c>
      <c r="B75" s="348" t="s">
        <v>713</v>
      </c>
      <c r="C75" s="1229" t="s">
        <v>717</v>
      </c>
      <c r="D75" s="477">
        <v>13642679</v>
      </c>
      <c r="E75" s="477">
        <v>14567785.537409959</v>
      </c>
    </row>
    <row r="76" spans="1:6">
      <c r="A76" s="348" t="s">
        <v>65</v>
      </c>
      <c r="B76" s="348" t="s">
        <v>714</v>
      </c>
      <c r="C76" s="1229" t="s">
        <v>718</v>
      </c>
      <c r="D76" s="477">
        <v>421777.12970936118</v>
      </c>
      <c r="E76" s="477">
        <v>462908.33133607334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659921.74058127764</v>
      </c>
      <c r="C83" s="477">
        <v>655977.13236359507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1891.4743990323896</v>
      </c>
    </row>
    <row r="92" spans="1:6">
      <c r="A92" s="341" t="s">
        <v>69</v>
      </c>
      <c r="B92" s="342">
        <v>689.1854864276429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26573.072358864621</v>
      </c>
      <c r="C3" s="43" t="s">
        <v>170</v>
      </c>
      <c r="D3" s="43"/>
      <c r="E3" s="154"/>
      <c r="F3" s="43"/>
      <c r="G3" s="43"/>
      <c r="H3" s="43"/>
      <c r="I3" s="43"/>
      <c r="J3" s="43"/>
      <c r="K3" s="96"/>
    </row>
    <row r="4" spans="1:11">
      <c r="A4" s="384" t="s">
        <v>171</v>
      </c>
      <c r="B4" s="49">
        <f>IF(ISERROR('SEAP template'!B69),0,'SEAP template'!B69)</f>
        <v>2606.1223854600325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0.19932568852376106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36.374999999999993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531.82899999999995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531.82899999999995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0.19932568852376106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106.00718160190331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14905.213220000001</v>
      </c>
      <c r="C5" s="17">
        <f>IF(ISERROR('Eigen informatie GS &amp; warmtenet'!B57),0,'Eigen informatie GS &amp; warmtenet'!B57)</f>
        <v>0</v>
      </c>
      <c r="D5" s="30">
        <f>(SUM(HH_hh_gas_kWh,HH_rest_gas_kWh)/1000)*0.902</f>
        <v>18126.997900000002</v>
      </c>
      <c r="E5" s="17">
        <f>B46*B57</f>
        <v>2450.1962297263044</v>
      </c>
      <c r="F5" s="17">
        <f>B51*B62</f>
        <v>39955.018345776072</v>
      </c>
      <c r="G5" s="18"/>
      <c r="H5" s="17"/>
      <c r="I5" s="17"/>
      <c r="J5" s="17">
        <f>B50*B61+C50*C61</f>
        <v>242.70214389103506</v>
      </c>
      <c r="K5" s="17"/>
      <c r="L5" s="17"/>
      <c r="M5" s="17"/>
      <c r="N5" s="17">
        <f>B48*B59+C48*C59</f>
        <v>7725.7520697178661</v>
      </c>
      <c r="O5" s="17">
        <f>B69*B70*B71</f>
        <v>129.75666666666669</v>
      </c>
      <c r="P5" s="17">
        <f>B77*B78*B79/1000-B77*B78*B79/1000/B80</f>
        <v>362.26666666666665</v>
      </c>
    </row>
    <row r="6" spans="1:16">
      <c r="A6" s="16" t="s">
        <v>631</v>
      </c>
      <c r="B6" s="844">
        <f>kWh_PV_kleiner_dan_10kW</f>
        <v>1891.4743990323896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16796.687619032389</v>
      </c>
      <c r="C8" s="21">
        <f>C5</f>
        <v>0</v>
      </c>
      <c r="D8" s="21">
        <f>D5</f>
        <v>18126.997900000002</v>
      </c>
      <c r="E8" s="21">
        <f>E5</f>
        <v>2450.1962297263044</v>
      </c>
      <c r="F8" s="21">
        <f>F5</f>
        <v>39955.018345776072</v>
      </c>
      <c r="G8" s="21"/>
      <c r="H8" s="21"/>
      <c r="I8" s="21"/>
      <c r="J8" s="21">
        <f>J5</f>
        <v>242.70214389103506</v>
      </c>
      <c r="K8" s="21"/>
      <c r="L8" s="21">
        <f>L5</f>
        <v>0</v>
      </c>
      <c r="M8" s="21">
        <f>M5</f>
        <v>0</v>
      </c>
      <c r="N8" s="21">
        <f>N5</f>
        <v>7725.7520697178661</v>
      </c>
      <c r="O8" s="21">
        <f>O5</f>
        <v>129.75666666666669</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0.19932568852376106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3348.011324582164</v>
      </c>
      <c r="C12" s="23">
        <f ca="1">C10*C8</f>
        <v>0</v>
      </c>
      <c r="D12" s="23">
        <f>D8*D10</f>
        <v>3661.6535758000005</v>
      </c>
      <c r="E12" s="23">
        <f>E10*E8</f>
        <v>556.19454414787117</v>
      </c>
      <c r="F12" s="23">
        <f>F10*F8</f>
        <v>10667.989898322212</v>
      </c>
      <c r="G12" s="23"/>
      <c r="H12" s="23"/>
      <c r="I12" s="23"/>
      <c r="J12" s="23">
        <f>J10*J8</f>
        <v>85.916558937426402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3608</v>
      </c>
      <c r="C28" s="36"/>
      <c r="D28" s="228"/>
    </row>
    <row r="29" spans="1:7" s="15" customFormat="1">
      <c r="A29" s="230" t="s">
        <v>741</v>
      </c>
      <c r="B29" s="37">
        <f>SUM(HH_hh_gas_aantal,HH_rest_gas_aantal)</f>
        <v>1125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1125</v>
      </c>
      <c r="C32" s="167">
        <f>IF(ISERROR(B32/SUM($B$32,$B$34,$B$35,$B$36,$B$38,$B$39)*100),0,B32/SUM($B$32,$B$34,$B$35,$B$36,$B$38,$B$39)*100)</f>
        <v>31.34577876845918</v>
      </c>
      <c r="D32" s="233"/>
      <c r="G32" s="15"/>
    </row>
    <row r="33" spans="1:7">
      <c r="A33" s="171" t="s">
        <v>72</v>
      </c>
      <c r="B33" s="34" t="s">
        <v>111</v>
      </c>
      <c r="C33" s="167"/>
      <c r="D33" s="233"/>
      <c r="G33" s="15"/>
    </row>
    <row r="34" spans="1:7">
      <c r="A34" s="171" t="s">
        <v>73</v>
      </c>
      <c r="B34" s="33">
        <f>IF((($B$28-$B$32-$B$39-$B$77-$B$38)*C20/100)&lt;0,0,($B$28-$B$32-$B$39-$B$77-$B$38)*C20/100)</f>
        <v>164.21681415929208</v>
      </c>
      <c r="C34" s="167">
        <f>IF(ISERROR(B34/SUM($B$32,$B$34,$B$35,$B$36,$B$38,$B$39)*100),0,B34/SUM($B$32,$B$34,$B$35,$B$36,$B$38,$B$39)*100)</f>
        <v>4.5755590459540842</v>
      </c>
      <c r="D34" s="233"/>
      <c r="G34" s="15"/>
    </row>
    <row r="35" spans="1:7">
      <c r="A35" s="171" t="s">
        <v>74</v>
      </c>
      <c r="B35" s="33">
        <f>IF((($B$28-$B$32-$B$39-$B$77-$B$38)*C21/100)&lt;0,0,($B$28-$B$32-$B$39-$B$77-$B$38)*C21/100)</f>
        <v>533.24336283185858</v>
      </c>
      <c r="C35" s="167">
        <f>IF(ISERROR(B35/SUM($B$32,$B$34,$B$35,$B$36,$B$38,$B$39)*100),0,B35/SUM($B$32,$B$34,$B$35,$B$36,$B$38,$B$39)*100)</f>
        <v>14.857714205401464</v>
      </c>
      <c r="D35" s="233"/>
      <c r="G35" s="15"/>
    </row>
    <row r="36" spans="1:7">
      <c r="A36" s="171" t="s">
        <v>75</v>
      </c>
      <c r="B36" s="33">
        <f>IF((($B$28-$B$32-$B$39-$B$77-$B$38)*C22/100)&lt;0,0,($B$28-$B$32-$B$39-$B$77-$B$38)*C22/100)</f>
        <v>136.53982300884957</v>
      </c>
      <c r="C36" s="167">
        <f>IF(ISERROR(B36/SUM($B$32,$B$34,$B$35,$B$36,$B$38,$B$39)*100),0,B36/SUM($B$32,$B$34,$B$35,$B$36,$B$38,$B$39)*100)</f>
        <v>3.8043974089955301</v>
      </c>
      <c r="D36" s="233"/>
      <c r="G36" s="15"/>
    </row>
    <row r="37" spans="1:7">
      <c r="A37" s="171" t="s">
        <v>76</v>
      </c>
      <c r="B37" s="34" t="s">
        <v>111</v>
      </c>
      <c r="C37" s="167"/>
      <c r="D37" s="173"/>
      <c r="G37" s="15"/>
    </row>
    <row r="38" spans="1:7">
      <c r="A38" s="171" t="s">
        <v>77</v>
      </c>
      <c r="B38" s="33">
        <f>IF((B24-(B29-B18)*0.1)&lt;0,0,B24-(B29-B18)*0.1)</f>
        <v>6.8999999999999915</v>
      </c>
      <c r="C38" s="167">
        <f>IF(ISERROR(B38/SUM($B$32,$B$34,$B$35,$B$36,$B$38,$B$39)*100),0,B38/SUM($B$32,$B$34,$B$35,$B$36,$B$38,$B$39)*100)</f>
        <v>0.19225410977988275</v>
      </c>
      <c r="D38" s="234"/>
      <c r="G38" s="15"/>
    </row>
    <row r="39" spans="1:7">
      <c r="A39" s="171" t="s">
        <v>78</v>
      </c>
      <c r="B39" s="33">
        <f>IF((B25-(B29-B18))&lt;0,0,B25-(B29-B18)*0.9)</f>
        <v>1623.1</v>
      </c>
      <c r="C39" s="167">
        <f>IF(ISERROR(B39/SUM($B$32,$B$34,$B$35,$B$36,$B$38,$B$39)*100),0,B39/SUM($B$32,$B$34,$B$35,$B$36,$B$38,$B$39)*100)</f>
        <v>45.224296461409864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1125</v>
      </c>
      <c r="C44" s="34" t="s">
        <v>111</v>
      </c>
      <c r="D44" s="174"/>
    </row>
    <row r="45" spans="1:7">
      <c r="A45" s="171" t="s">
        <v>72</v>
      </c>
      <c r="B45" s="33" t="str">
        <f t="shared" si="0"/>
        <v>-</v>
      </c>
      <c r="C45" s="34" t="s">
        <v>111</v>
      </c>
      <c r="D45" s="174"/>
    </row>
    <row r="46" spans="1:7">
      <c r="A46" s="171" t="s">
        <v>73</v>
      </c>
      <c r="B46" s="33">
        <f t="shared" si="0"/>
        <v>164.21681415929208</v>
      </c>
      <c r="C46" s="34" t="s">
        <v>111</v>
      </c>
      <c r="D46" s="174"/>
    </row>
    <row r="47" spans="1:7">
      <c r="A47" s="171" t="s">
        <v>74</v>
      </c>
      <c r="B47" s="33">
        <f t="shared" si="0"/>
        <v>533.24336283185858</v>
      </c>
      <c r="C47" s="34" t="s">
        <v>111</v>
      </c>
      <c r="D47" s="174"/>
    </row>
    <row r="48" spans="1:7">
      <c r="A48" s="171" t="s">
        <v>75</v>
      </c>
      <c r="B48" s="33">
        <f t="shared" si="0"/>
        <v>136.53982300884957</v>
      </c>
      <c r="C48" s="33">
        <f>B48*10</f>
        <v>1365.3982300884957</v>
      </c>
      <c r="D48" s="234"/>
    </row>
    <row r="49" spans="1:6">
      <c r="A49" s="171" t="s">
        <v>76</v>
      </c>
      <c r="B49" s="33" t="str">
        <f t="shared" si="0"/>
        <v>-</v>
      </c>
      <c r="C49" s="34" t="s">
        <v>111</v>
      </c>
      <c r="D49" s="234"/>
    </row>
    <row r="50" spans="1:6">
      <c r="A50" s="171" t="s">
        <v>77</v>
      </c>
      <c r="B50" s="33">
        <f t="shared" si="0"/>
        <v>6.8999999999999915</v>
      </c>
      <c r="C50" s="33">
        <f>B50*2</f>
        <v>13.799999999999983</v>
      </c>
      <c r="D50" s="234"/>
    </row>
    <row r="51" spans="1:6">
      <c r="A51" s="171" t="s">
        <v>78</v>
      </c>
      <c r="B51" s="33">
        <f t="shared" si="0"/>
        <v>1623.1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6463.41075</v>
      </c>
      <c r="C5" s="17">
        <f>IF(ISERROR('Eigen informatie GS &amp; warmtenet'!B58),0,'Eigen informatie GS &amp; warmtenet'!B58)</f>
        <v>0</v>
      </c>
      <c r="D5" s="30">
        <f>SUM(D6:D12)</f>
        <v>5198.7726119999998</v>
      </c>
      <c r="E5" s="17">
        <f>SUM(E6:E12)</f>
        <v>71.497117802040663</v>
      </c>
      <c r="F5" s="17">
        <f>SUM(F6:F12)</f>
        <v>939.81364933766713</v>
      </c>
      <c r="G5" s="18"/>
      <c r="H5" s="17"/>
      <c r="I5" s="17"/>
      <c r="J5" s="17">
        <f>SUM(J6:J12)</f>
        <v>0</v>
      </c>
      <c r="K5" s="17"/>
      <c r="L5" s="17"/>
      <c r="M5" s="17"/>
      <c r="N5" s="17">
        <f>SUM(N6:N12)</f>
        <v>502.65328357287484</v>
      </c>
      <c r="O5" s="17">
        <f>B38*B39*B40</f>
        <v>0</v>
      </c>
      <c r="P5" s="17">
        <f>B46*B47*B48/1000-B46*B47*B48/1000/B49</f>
        <v>19.066666666666666</v>
      </c>
      <c r="R5" s="32"/>
    </row>
    <row r="6" spans="1:18">
      <c r="A6" s="32" t="s">
        <v>54</v>
      </c>
      <c r="B6" s="37">
        <f>B26</f>
        <v>1663.7249999999999</v>
      </c>
      <c r="C6" s="33"/>
      <c r="D6" s="37">
        <f>IF(ISERROR(TER_kantoor_gas_kWh/1000),0,TER_kantoor_gas_kWh/1000)*0.902</f>
        <v>2022.8414359999999</v>
      </c>
      <c r="E6" s="33">
        <f>$C$26*'E Balans VL '!I12/100/3.6*1000000</f>
        <v>4.8200554280695069</v>
      </c>
      <c r="F6" s="33">
        <f>$C$26*('E Balans VL '!L12+'E Balans VL '!N12)/100/3.6*1000000</f>
        <v>188.29701529632484</v>
      </c>
      <c r="G6" s="34"/>
      <c r="H6" s="33"/>
      <c r="I6" s="33"/>
      <c r="J6" s="33">
        <f>$C$26*('E Balans VL '!D12+'E Balans VL '!E12)/100/3.6*1000000</f>
        <v>0</v>
      </c>
      <c r="K6" s="33"/>
      <c r="L6" s="33"/>
      <c r="M6" s="33"/>
      <c r="N6" s="33">
        <f>$C$26*'E Balans VL '!Y12/100/3.6*1000000</f>
        <v>16.652661362685638</v>
      </c>
      <c r="O6" s="33"/>
      <c r="P6" s="33"/>
      <c r="R6" s="32"/>
    </row>
    <row r="7" spans="1:18">
      <c r="A7" s="32" t="s">
        <v>53</v>
      </c>
      <c r="B7" s="37">
        <f t="shared" ref="B7:B12" si="0">B27</f>
        <v>870.79399999999998</v>
      </c>
      <c r="C7" s="33"/>
      <c r="D7" s="37">
        <f>IF(ISERROR(TER_horeca_gas_kWh/1000),0,TER_horeca_gas_kWh/1000)*0.902</f>
        <v>1300.1202499999999</v>
      </c>
      <c r="E7" s="33">
        <f>$C$27*'E Balans VL '!I9/100/3.6*1000000</f>
        <v>36.553499169648425</v>
      </c>
      <c r="F7" s="33">
        <f>$C$27*('E Balans VL '!L9+'E Balans VL '!N9)/100/3.6*1000000</f>
        <v>187.10794821282437</v>
      </c>
      <c r="G7" s="34"/>
      <c r="H7" s="33"/>
      <c r="I7" s="33"/>
      <c r="J7" s="33">
        <f>$C$27*('E Balans VL '!D9+'E Balans VL '!E9)/100/3.6*1000000</f>
        <v>0</v>
      </c>
      <c r="K7" s="33"/>
      <c r="L7" s="33"/>
      <c r="M7" s="33"/>
      <c r="N7" s="33">
        <f>$C$27*'E Balans VL '!Y9/100/3.6*1000000</f>
        <v>0.22439599843020486</v>
      </c>
      <c r="O7" s="33"/>
      <c r="P7" s="33"/>
      <c r="R7" s="32"/>
    </row>
    <row r="8" spans="1:18">
      <c r="A8" s="6" t="s">
        <v>52</v>
      </c>
      <c r="B8" s="37">
        <f t="shared" si="0"/>
        <v>2506.6509999999998</v>
      </c>
      <c r="C8" s="33"/>
      <c r="D8" s="37">
        <f>IF(ISERROR(TER_handel_gas_kWh/1000),0,TER_handel_gas_kWh/1000)*0.902</f>
        <v>1071.231436</v>
      </c>
      <c r="E8" s="33">
        <f>$C$28*'E Balans VL '!I13/100/3.6*1000000</f>
        <v>26.923517966322997</v>
      </c>
      <c r="F8" s="33">
        <f>$C$28*('E Balans VL '!L13+'E Balans VL '!N13)/100/3.6*1000000</f>
        <v>324.50667144724218</v>
      </c>
      <c r="G8" s="34"/>
      <c r="H8" s="33"/>
      <c r="I8" s="33"/>
      <c r="J8" s="33">
        <f>$C$28*('E Balans VL '!D13+'E Balans VL '!E13)/100/3.6*1000000</f>
        <v>0</v>
      </c>
      <c r="K8" s="33"/>
      <c r="L8" s="33"/>
      <c r="M8" s="33"/>
      <c r="N8" s="33">
        <f>$C$28*'E Balans VL '!Y13/100/3.6*1000000</f>
        <v>20.334089781095603</v>
      </c>
      <c r="O8" s="33"/>
      <c r="P8" s="33"/>
      <c r="R8" s="32"/>
    </row>
    <row r="9" spans="1:18">
      <c r="A9" s="32" t="s">
        <v>51</v>
      </c>
      <c r="B9" s="37">
        <f t="shared" si="0"/>
        <v>730.89300000000003</v>
      </c>
      <c r="C9" s="33"/>
      <c r="D9" s="37">
        <f>IF(ISERROR(TER_gezond_gas_kWh/1000),0,TER_gezond_gas_kWh/1000)*0.902</f>
        <v>432.23840000000001</v>
      </c>
      <c r="E9" s="33">
        <f>$C$29*'E Balans VL '!I10/100/3.6*1000000</f>
        <v>0.58183810089276178</v>
      </c>
      <c r="F9" s="33">
        <f>$C$29*('E Balans VL '!L10+'E Balans VL '!N10)/100/3.6*1000000</f>
        <v>88.850606505205604</v>
      </c>
      <c r="G9" s="34"/>
      <c r="H9" s="33"/>
      <c r="I9" s="33"/>
      <c r="J9" s="33">
        <f>$C$29*('E Balans VL '!D10+'E Balans VL '!E10)/100/3.6*1000000</f>
        <v>0</v>
      </c>
      <c r="K9" s="33"/>
      <c r="L9" s="33"/>
      <c r="M9" s="33"/>
      <c r="N9" s="33">
        <f>$C$29*'E Balans VL '!Y10/100/3.6*1000000</f>
        <v>5.9039600166223423</v>
      </c>
      <c r="O9" s="33"/>
      <c r="P9" s="33"/>
      <c r="R9" s="32"/>
    </row>
    <row r="10" spans="1:18">
      <c r="A10" s="32" t="s">
        <v>50</v>
      </c>
      <c r="B10" s="37">
        <f t="shared" si="0"/>
        <v>647.00900000000001</v>
      </c>
      <c r="C10" s="33"/>
      <c r="D10" s="37">
        <f>IF(ISERROR(TER_ander_gas_kWh/1000),0,TER_ander_gas_kWh/1000)*0.902</f>
        <v>308.15928000000002</v>
      </c>
      <c r="E10" s="33">
        <f>$C$30*'E Balans VL '!I14/100/3.6*1000000</f>
        <v>2.2173338324958842</v>
      </c>
      <c r="F10" s="33">
        <f>$C$30*('E Balans VL '!L14+'E Balans VL '!N14)/100/3.6*1000000</f>
        <v>144.51551925126896</v>
      </c>
      <c r="G10" s="34"/>
      <c r="H10" s="33"/>
      <c r="I10" s="33"/>
      <c r="J10" s="33">
        <f>$C$30*('E Balans VL '!D14+'E Balans VL '!E14)/100/3.6*1000000</f>
        <v>0</v>
      </c>
      <c r="K10" s="33"/>
      <c r="L10" s="33"/>
      <c r="M10" s="33"/>
      <c r="N10" s="33">
        <f>$C$30*'E Balans VL '!Y14/100/3.6*1000000</f>
        <v>455.7566741410763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44.338749999999997</v>
      </c>
      <c r="C12" s="33"/>
      <c r="D12" s="37">
        <f>IF(ISERROR(TER_rest_gas_kWh/1000),0,TER_rest_gas_kWh/1000)*0.902</f>
        <v>64.181809999999999</v>
      </c>
      <c r="E12" s="33">
        <f>$C$32*'E Balans VL '!I8/100/3.6*1000000</f>
        <v>0.40087330461108373</v>
      </c>
      <c r="F12" s="33">
        <f>$C$32*('E Balans VL '!L8+'E Balans VL '!N8)/100/3.6*1000000</f>
        <v>6.5358886248011734</v>
      </c>
      <c r="G12" s="34"/>
      <c r="H12" s="33"/>
      <c r="I12" s="33"/>
      <c r="J12" s="33">
        <f>$C$32*('E Balans VL '!D8+'E Balans VL '!E8)/100/3.6*1000000</f>
        <v>0</v>
      </c>
      <c r="K12" s="33"/>
      <c r="L12" s="33"/>
      <c r="M12" s="33"/>
      <c r="N12" s="33">
        <f>$C$32*'E Balans VL '!Y8/100/3.6*1000000</f>
        <v>3.7815022729647798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6463.41075</v>
      </c>
      <c r="C16" s="21">
        <f t="shared" ca="1" si="1"/>
        <v>0</v>
      </c>
      <c r="D16" s="21">
        <f t="shared" ca="1" si="1"/>
        <v>5198.7726119999998</v>
      </c>
      <c r="E16" s="21">
        <f t="shared" si="1"/>
        <v>71.497117802040663</v>
      </c>
      <c r="F16" s="21">
        <f t="shared" ca="1" si="1"/>
        <v>939.81364933766713</v>
      </c>
      <c r="G16" s="21">
        <f t="shared" si="1"/>
        <v>0</v>
      </c>
      <c r="H16" s="21">
        <f t="shared" si="1"/>
        <v>0</v>
      </c>
      <c r="I16" s="21">
        <f t="shared" si="1"/>
        <v>0</v>
      </c>
      <c r="J16" s="21">
        <f t="shared" si="1"/>
        <v>0</v>
      </c>
      <c r="K16" s="21">
        <f t="shared" si="1"/>
        <v>0</v>
      </c>
      <c r="L16" s="21">
        <f t="shared" ca="1" si="1"/>
        <v>0</v>
      </c>
      <c r="M16" s="21">
        <f t="shared" si="1"/>
        <v>0</v>
      </c>
      <c r="N16" s="21">
        <f t="shared" ca="1" si="1"/>
        <v>502.65328357287484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0.19932568852376106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1288.3237979556288</v>
      </c>
      <c r="C20" s="23">
        <f t="shared" ref="C20:P20" ca="1" si="2">C16*C18</f>
        <v>0</v>
      </c>
      <c r="D20" s="23">
        <f t="shared" ca="1" si="2"/>
        <v>1050.152067624</v>
      </c>
      <c r="E20" s="23">
        <f t="shared" si="2"/>
        <v>16.22984574106323</v>
      </c>
      <c r="F20" s="23">
        <f t="shared" ca="1" si="2"/>
        <v>250.93024437315714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1663.7249999999999</v>
      </c>
      <c r="C26" s="39">
        <f>IF(ISERROR(B26*3.6/1000000/'E Balans VL '!Z12*100),0,B26*3.6/1000000/'E Balans VL '!Z12*100)</f>
        <v>3.6545643083709847E-2</v>
      </c>
      <c r="D26" s="237" t="s">
        <v>692</v>
      </c>
      <c r="F26" s="6"/>
    </row>
    <row r="27" spans="1:18">
      <c r="A27" s="231" t="s">
        <v>53</v>
      </c>
      <c r="B27" s="33">
        <f>IF(ISERROR(TER_horeca_ele_kWh/1000),0,TER_horeca_ele_kWh/1000)</f>
        <v>870.79399999999998</v>
      </c>
      <c r="C27" s="39">
        <f>IF(ISERROR(B27*3.6/1000000/'E Balans VL '!Z9*100),0,B27*3.6/1000000/'E Balans VL '!Z9*100)</f>
        <v>6.9976978077114269E-2</v>
      </c>
      <c r="D27" s="237" t="s">
        <v>692</v>
      </c>
      <c r="F27" s="6"/>
    </row>
    <row r="28" spans="1:18">
      <c r="A28" s="171" t="s">
        <v>52</v>
      </c>
      <c r="B28" s="33">
        <f>IF(ISERROR(TER_handel_ele_kWh/1000),0,TER_handel_ele_kWh/1000)</f>
        <v>2506.6509999999998</v>
      </c>
      <c r="C28" s="39">
        <f>IF(ISERROR(B28*3.6/1000000/'E Balans VL '!Z13*100),0,B28*3.6/1000000/'E Balans VL '!Z13*100)</f>
        <v>7.4119918886842551E-2</v>
      </c>
      <c r="D28" s="237" t="s">
        <v>692</v>
      </c>
      <c r="F28" s="6"/>
    </row>
    <row r="29" spans="1:18">
      <c r="A29" s="231" t="s">
        <v>51</v>
      </c>
      <c r="B29" s="33">
        <f>IF(ISERROR(TER_gezond_ele_kWh/1000),0,TER_gezond_ele_kWh/1000)</f>
        <v>730.89300000000003</v>
      </c>
      <c r="C29" s="39">
        <f>IF(ISERROR(B29*3.6/1000000/'E Balans VL '!Z10*100),0,B29*3.6/1000000/'E Balans VL '!Z10*100)</f>
        <v>8.2352771106134162E-2</v>
      </c>
      <c r="D29" s="237" t="s">
        <v>692</v>
      </c>
      <c r="F29" s="6"/>
    </row>
    <row r="30" spans="1:18">
      <c r="A30" s="231" t="s">
        <v>50</v>
      </c>
      <c r="B30" s="33">
        <f>IF(ISERROR(TER_ander_ele_kWh/1000),0,TER_ander_ele_kWh/1000)</f>
        <v>647.00900000000001</v>
      </c>
      <c r="C30" s="39">
        <f>IF(ISERROR(B30*3.6/1000000/'E Balans VL '!Z14*100),0,B30*3.6/1000000/'E Balans VL '!Z14*100)</f>
        <v>4.8932184658073134E-2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44.338749999999997</v>
      </c>
      <c r="C32" s="39">
        <f>IF(ISERROR(B32*3.6/1000000/'E Balans VL '!Z8*100),0,B32*3.6/1000000/'E Balans VL '!Z8*100)</f>
        <v>3.7352788514668692E-4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1750.373</v>
      </c>
      <c r="C5" s="17">
        <f>IF(ISERROR('Eigen informatie GS &amp; warmtenet'!B59),0,'Eigen informatie GS &amp; warmtenet'!B59)</f>
        <v>0</v>
      </c>
      <c r="D5" s="30">
        <f>SUM(D6:D15)</f>
        <v>512.22144600000001</v>
      </c>
      <c r="E5" s="17">
        <f>SUM(E6:E15)</f>
        <v>205.34649431004425</v>
      </c>
      <c r="F5" s="17">
        <f>SUM(F6:F15)</f>
        <v>2121.8994978399915</v>
      </c>
      <c r="G5" s="18"/>
      <c r="H5" s="17"/>
      <c r="I5" s="17"/>
      <c r="J5" s="17">
        <f>SUM(J6:J15)</f>
        <v>19.258943417979417</v>
      </c>
      <c r="K5" s="17"/>
      <c r="L5" s="17"/>
      <c r="M5" s="17"/>
      <c r="N5" s="17">
        <f>SUM(N6:N15)</f>
        <v>685.47136788608168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164.035</v>
      </c>
      <c r="C8" s="33"/>
      <c r="D8" s="37">
        <f>IF( ISERROR(IND_metaal_Gas_kWH/1000),0,IND_metaal_Gas_kWH/1000)*0.902</f>
        <v>0</v>
      </c>
      <c r="E8" s="33">
        <f>C30*'E Balans VL '!I18/100/3.6*1000000</f>
        <v>4.1052219397995087</v>
      </c>
      <c r="F8" s="33">
        <f>C30*'E Balans VL '!L18/100/3.6*1000000+C30*'E Balans VL '!N18/100/3.6*1000000</f>
        <v>51.409384952052754</v>
      </c>
      <c r="G8" s="34"/>
      <c r="H8" s="33"/>
      <c r="I8" s="33"/>
      <c r="J8" s="40">
        <f>C30*'E Balans VL '!D18/100/3.6*1000000+C30*'E Balans VL '!E18/100/3.6*1000000</f>
        <v>0</v>
      </c>
      <c r="K8" s="33"/>
      <c r="L8" s="33"/>
      <c r="M8" s="33"/>
      <c r="N8" s="33">
        <f>C30*'E Balans VL '!Y18/100/3.6*1000000</f>
        <v>4.1209849079470189</v>
      </c>
      <c r="O8" s="33"/>
      <c r="P8" s="33"/>
      <c r="R8" s="32"/>
    </row>
    <row r="9" spans="1:18">
      <c r="A9" s="6" t="s">
        <v>33</v>
      </c>
      <c r="B9" s="37">
        <f t="shared" si="0"/>
        <v>698.69</v>
      </c>
      <c r="C9" s="33"/>
      <c r="D9" s="37">
        <f>IF( ISERROR(IND_andere_gas_kWh/1000),0,IND_andere_gas_kWh/1000)*0.902</f>
        <v>421.95830599999999</v>
      </c>
      <c r="E9" s="33">
        <f>C31*'E Balans VL '!I19/100/3.6*1000000</f>
        <v>192.11109319080688</v>
      </c>
      <c r="F9" s="33">
        <f>C31*'E Balans VL '!L19/100/3.6*1000000+C31*'E Balans VL '!N19/100/3.6*1000000</f>
        <v>550.68930078925257</v>
      </c>
      <c r="G9" s="34"/>
      <c r="H9" s="33"/>
      <c r="I9" s="33"/>
      <c r="J9" s="40">
        <f>C31*'E Balans VL '!D19/100/3.6*1000000+C31*'E Balans VL '!E19/100/3.6*1000000</f>
        <v>0</v>
      </c>
      <c r="K9" s="33"/>
      <c r="L9" s="33"/>
      <c r="M9" s="33"/>
      <c r="N9" s="33">
        <f>C31*'E Balans VL '!Y19/100/3.6*1000000</f>
        <v>226.18439532987625</v>
      </c>
      <c r="O9" s="33"/>
      <c r="P9" s="33"/>
      <c r="R9" s="32"/>
    </row>
    <row r="10" spans="1:18">
      <c r="A10" s="6" t="s">
        <v>41</v>
      </c>
      <c r="B10" s="37">
        <f t="shared" si="0"/>
        <v>801.9</v>
      </c>
      <c r="C10" s="33"/>
      <c r="D10" s="37">
        <f>IF( ISERROR(IND_voed_gas_kWh/1000),0,IND_voed_gas_kWh/1000)*0.902</f>
        <v>0</v>
      </c>
      <c r="E10" s="33">
        <f>C32*'E Balans VL '!I20/100/3.6*1000000</f>
        <v>8.1749287307692562</v>
      </c>
      <c r="F10" s="33">
        <f>C32*'E Balans VL '!L20/100/3.6*1000000+C32*'E Balans VL '!N20/100/3.6*1000000</f>
        <v>1514.784084599642</v>
      </c>
      <c r="G10" s="34"/>
      <c r="H10" s="33"/>
      <c r="I10" s="33"/>
      <c r="J10" s="40">
        <f>C32*'E Balans VL '!D20/100/3.6*1000000+C32*'E Balans VL '!E20/100/3.6*1000000</f>
        <v>19.19209082867912</v>
      </c>
      <c r="K10" s="33"/>
      <c r="L10" s="33"/>
      <c r="M10" s="33"/>
      <c r="N10" s="33">
        <f>C32*'E Balans VL '!Y20/100/3.6*1000000</f>
        <v>422.69366755356123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69.813000000000002</v>
      </c>
      <c r="C13" s="33"/>
      <c r="D13" s="37">
        <f>IF( ISERROR(IND_papier_gas_kWh/1000),0,IND_papier_gas_kWh/1000)*0.902</f>
        <v>0</v>
      </c>
      <c r="E13" s="33">
        <f>C35*'E Balans VL '!I23/100/3.6*1000000</f>
        <v>0.14458743526403067</v>
      </c>
      <c r="F13" s="33">
        <f>C35*'E Balans VL '!L23/100/3.6*1000000+C35*'E Balans VL '!N23/100/3.6*1000000</f>
        <v>1.3845414571763361</v>
      </c>
      <c r="G13" s="34"/>
      <c r="H13" s="33"/>
      <c r="I13" s="33"/>
      <c r="J13" s="40">
        <f>C35*'E Balans VL '!D23/100/3.6*1000000+C35*'E Balans VL '!E23/100/3.6*1000000</f>
        <v>0</v>
      </c>
      <c r="K13" s="33"/>
      <c r="L13" s="33"/>
      <c r="M13" s="33"/>
      <c r="N13" s="33">
        <f>C35*'E Balans VL '!Y23/100/3.6*1000000</f>
        <v>29.478390463155907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15.935</v>
      </c>
      <c r="C15" s="33"/>
      <c r="D15" s="37">
        <f>IF( ISERROR(IND_rest_gas_kWh/1000),0,IND_rest_gas_kWh/1000)*0.902</f>
        <v>90.263139999999993</v>
      </c>
      <c r="E15" s="33">
        <f>C37*'E Balans VL '!I15/100/3.6*1000000</f>
        <v>0.81066301340453462</v>
      </c>
      <c r="F15" s="33">
        <f>C37*'E Balans VL '!L15/100/3.6*1000000+C37*'E Balans VL '!N15/100/3.6*1000000</f>
        <v>3.6321860418673548</v>
      </c>
      <c r="G15" s="34"/>
      <c r="H15" s="33"/>
      <c r="I15" s="33"/>
      <c r="J15" s="40">
        <f>C37*'E Balans VL '!D15/100/3.6*1000000+C37*'E Balans VL '!E15/100/3.6*1000000</f>
        <v>6.6852589300295043E-2</v>
      </c>
      <c r="K15" s="33"/>
      <c r="L15" s="33"/>
      <c r="M15" s="33"/>
      <c r="N15" s="33">
        <f>C37*'E Balans VL '!Y15/100/3.6*1000000</f>
        <v>2.9939296315411852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1750.373</v>
      </c>
      <c r="C18" s="21">
        <f>C5+C16</f>
        <v>0</v>
      </c>
      <c r="D18" s="21">
        <f>MAX((D5+D16),0)</f>
        <v>512.22144600000001</v>
      </c>
      <c r="E18" s="21">
        <f>MAX((E5+E16),0)</f>
        <v>205.34649431004425</v>
      </c>
      <c r="F18" s="21">
        <f>MAX((F5+F16),0)</f>
        <v>2121.8994978399915</v>
      </c>
      <c r="G18" s="21"/>
      <c r="H18" s="21"/>
      <c r="I18" s="21"/>
      <c r="J18" s="21">
        <f>MAX((J5+J16),0)</f>
        <v>19.258943417979417</v>
      </c>
      <c r="K18" s="21"/>
      <c r="L18" s="21">
        <f>MAX((L5+L16),0)</f>
        <v>0</v>
      </c>
      <c r="M18" s="21"/>
      <c r="N18" s="21">
        <f>MAX((N5+N16),0)</f>
        <v>685.47136788608168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0.19932568852376106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348.89430339840123</v>
      </c>
      <c r="C22" s="23">
        <f ca="1">C18*C20</f>
        <v>0</v>
      </c>
      <c r="D22" s="23">
        <f>D18*D20</f>
        <v>103.46873209200001</v>
      </c>
      <c r="E22" s="23">
        <f>E18*E20</f>
        <v>46.613654208380048</v>
      </c>
      <c r="F22" s="23">
        <f>F18*F20</f>
        <v>566.5471659232777</v>
      </c>
      <c r="G22" s="23"/>
      <c r="H22" s="23"/>
      <c r="I22" s="23"/>
      <c r="J22" s="23">
        <f>J18*J20</f>
        <v>6.8176659699647129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164.035</v>
      </c>
      <c r="C30" s="39">
        <f>IF(ISERROR(B30*3.6/1000000/'E Balans VL '!Z18*100),0,B30*3.6/1000000/'E Balans VL '!Z18*100)</f>
        <v>2.2959433473234609E-2</v>
      </c>
      <c r="D30" s="237" t="s">
        <v>692</v>
      </c>
    </row>
    <row r="31" spans="1:18">
      <c r="A31" s="6" t="s">
        <v>33</v>
      </c>
      <c r="B31" s="37">
        <f>IF( ISERROR(IND_ander_ele_kWh/1000),0,IND_ander_ele_kWh/1000)</f>
        <v>698.69</v>
      </c>
      <c r="C31" s="39">
        <f>IF(ISERROR(B31*3.6/1000000/'E Balans VL '!Z19*100),0,B31*3.6/1000000/'E Balans VL '!Z19*100)</f>
        <v>3.0581547956378779E-2</v>
      </c>
      <c r="D31" s="237" t="s">
        <v>692</v>
      </c>
    </row>
    <row r="32" spans="1:18">
      <c r="A32" s="171" t="s">
        <v>41</v>
      </c>
      <c r="B32" s="37">
        <f>IF( ISERROR(IND_voed_ele_kWh/1000),0,IND_voed_ele_kWh/1000)</f>
        <v>801.9</v>
      </c>
      <c r="C32" s="39">
        <f>IF(ISERROR(B32*3.6/1000000/'E Balans VL '!Z20*100),0,B32*3.6/1000000/'E Balans VL '!Z20*100)</f>
        <v>0.198523810214527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69.813000000000002</v>
      </c>
      <c r="C35" s="39">
        <f>IF(ISERROR(B35*3.6/1000000/'E Balans VL '!Z22*100),0,B35*3.6/1000000/'E Balans VL '!Z22*100)</f>
        <v>1.9810081182675891E-3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15.935</v>
      </c>
      <c r="C37" s="39">
        <f>IF(ISERROR(B37*3.6/1000000/'E Balans VL '!Z15*100),0,B37*3.6/1000000/'E Balans VL '!Z15*100)</f>
        <v>1.181552968125528E-4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1020.853</v>
      </c>
      <c r="C5" s="17">
        <f>'Eigen informatie GS &amp; warmtenet'!B60</f>
        <v>0</v>
      </c>
      <c r="D5" s="30">
        <f>IF(ISERROR(SUM(LB_lb_gas_kWh,LB_rest_gas_kWh,onbekend_gas_kWh)/1000),0,SUM(LB_lb_gas_kWh,LB_rest_gas_kWh,onbekend_gas_kWh)/1000)*0.902</f>
        <v>189.98555400000001</v>
      </c>
      <c r="E5" s="17">
        <f>B17*'E Balans VL '!I25/3.6*1000000/100</f>
        <v>9.45556805853969</v>
      </c>
      <c r="F5" s="17">
        <f>B17*('E Balans VL '!L25/3.6*1000000+'E Balans VL '!N25/3.6*1000000)/100</f>
        <v>2590.0985332969285</v>
      </c>
      <c r="G5" s="18"/>
      <c r="H5" s="17"/>
      <c r="I5" s="17"/>
      <c r="J5" s="17">
        <f>('E Balans VL '!D25+'E Balans VL '!E25)/3.6*1000000*landbouw!B17/100</f>
        <v>156.50815765273083</v>
      </c>
      <c r="K5" s="17"/>
      <c r="L5" s="17">
        <f>L6*(-1)</f>
        <v>0</v>
      </c>
      <c r="M5" s="17"/>
      <c r="N5" s="17">
        <f>N6*(-1)</f>
        <v>72.749999999999986</v>
      </c>
      <c r="O5" s="17"/>
      <c r="P5" s="17"/>
      <c r="R5" s="32"/>
    </row>
    <row r="6" spans="1:18">
      <c r="A6" s="16" t="s">
        <v>494</v>
      </c>
      <c r="B6" s="17" t="s">
        <v>211</v>
      </c>
      <c r="C6" s="17">
        <f>'lokale energieproductie'!O91+'lokale energieproductie'!O60</f>
        <v>36.374999999999993</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1020.853</v>
      </c>
      <c r="C8" s="21">
        <f>C5+C6</f>
        <v>36.374999999999993</v>
      </c>
      <c r="D8" s="21">
        <f>MAX((D5+D6),0)</f>
        <v>189.98555400000001</v>
      </c>
      <c r="E8" s="21">
        <f>MAX((E5+E6),0)</f>
        <v>9.45556805853969</v>
      </c>
      <c r="F8" s="21">
        <f>MAX((F5+F6),0)</f>
        <v>2590.0985332969285</v>
      </c>
      <c r="G8" s="21"/>
      <c r="H8" s="21"/>
      <c r="I8" s="21"/>
      <c r="J8" s="21">
        <f>MAX((J5+J6),0)</f>
        <v>156.50815765273083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0.19932568852376106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203.48222710654704</v>
      </c>
      <c r="C12" s="23">
        <f ca="1">C8*C10</f>
        <v>0</v>
      </c>
      <c r="D12" s="23">
        <f>D8*D10</f>
        <v>38.377081908000001</v>
      </c>
      <c r="E12" s="23">
        <f>E8*E10</f>
        <v>2.1464139492885095</v>
      </c>
      <c r="F12" s="23">
        <f>F8*F10</f>
        <v>691.55630839027992</v>
      </c>
      <c r="G12" s="23"/>
      <c r="H12" s="23"/>
      <c r="I12" s="23"/>
      <c r="J12" s="23">
        <f>J8*J10</f>
        <v>55.40388780906671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0.14514365077493926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422.87741689916498</v>
      </c>
      <c r="C26" s="247">
        <f>B26*'GWP N2O_CH4'!B5</f>
        <v>8880.4257548824644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82.331029086697399</v>
      </c>
      <c r="C27" s="247">
        <f>B27*'GWP N2O_CH4'!B5</f>
        <v>1728.9516108206453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5.0009772677934068</v>
      </c>
      <c r="C28" s="247">
        <f>B28*'GWP N2O_CH4'!B4</f>
        <v>1550.3029530159561</v>
      </c>
      <c r="D28" s="50"/>
    </row>
    <row r="29" spans="1:4">
      <c r="A29" s="41" t="s">
        <v>277</v>
      </c>
      <c r="B29" s="247">
        <f>B34*'ha_N2O bodem landbouw'!B4</f>
        <v>17.694691045506406</v>
      </c>
      <c r="C29" s="247">
        <f>B29*'GWP N2O_CH4'!B4</f>
        <v>5485.3542241069863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3.9686074686431016E-3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3.5708363396033714E-5</v>
      </c>
      <c r="C5" s="464" t="s">
        <v>211</v>
      </c>
      <c r="D5" s="449">
        <f>SUM(D6:D11)</f>
        <v>9.4566157019359892E-5</v>
      </c>
      <c r="E5" s="449">
        <f>SUM(E6:E11)</f>
        <v>6.019317257620403E-4</v>
      </c>
      <c r="F5" s="462" t="s">
        <v>211</v>
      </c>
      <c r="G5" s="449">
        <f>SUM(G6:G11)</f>
        <v>0.19012533431445061</v>
      </c>
      <c r="H5" s="449">
        <f>SUM(H6:H11)</f>
        <v>3.573342721159975E-2</v>
      </c>
      <c r="I5" s="464" t="s">
        <v>211</v>
      </c>
      <c r="J5" s="464" t="s">
        <v>211</v>
      </c>
      <c r="K5" s="464" t="s">
        <v>211</v>
      </c>
      <c r="L5" s="464" t="s">
        <v>211</v>
      </c>
      <c r="M5" s="449">
        <f>SUM(M6:M11)</f>
        <v>1.2097892444979936E-2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2.8977165497186448E-5</v>
      </c>
      <c r="C6" s="450"/>
      <c r="D6" s="963">
        <f>vkm_2011_GW_PW*SUMIFS(TableVerdeelsleutelVkm[CNG],TableVerdeelsleutelVkm[Voertuigtype],"Lichte voertuigen")*SUMIFS(TableECFTransport[EnergieConsumptieFactor (PJ per km)],TableECFTransport[Index],CONCATENATE($A6,"_CNG_CNG"))</f>
        <v>6.7027374048758215E-5</v>
      </c>
      <c r="E6" s="963">
        <f>vkm_2011_GW_PW*SUMIFS(TableVerdeelsleutelVkm[LPG],TableVerdeelsleutelVkm[Voertuigtype],"Lichte voertuigen")*SUMIFS(TableECFTransport[EnergieConsumptieFactor (PJ per km)],TableECFTransport[Index],CONCATENATE($A6,"_LPG_LPG"))</f>
        <v>4.3644178310810563E-4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9.0667551526596765E-2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2.555730907441419E-2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6.031467763441256E-3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6.2300244844215494E-2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2.1305552311570956E-5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3.6044222980513288E-3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6.7311978988472648E-6</v>
      </c>
      <c r="C8" s="450"/>
      <c r="D8" s="452">
        <f>vkm_2011_NGW_PW*SUMIFS(TableVerdeelsleutelVkm[CNG],TableVerdeelsleutelVkm[Voertuigtype],"Lichte voertuigen")*SUMIFS(TableECFTransport[EnergieConsumptieFactor (PJ per km)],TableECFTransport[Index],CONCATENATE($A8,"_CNG_CNG"))</f>
        <v>2.753878297060167E-5</v>
      </c>
      <c r="E8" s="452">
        <f>vkm_2011_NGW_PW*SUMIFS(TableVerdeelsleutelVkm[LPG],TableVerdeelsleutelVkm[Voertuigtype],"Lichte voertuigen")*SUMIFS(TableECFTransport[EnergieConsumptieFactor (PJ per km)],TableECFTransport[Index],CONCATENATE($A8,"_LPG_LPG"))</f>
        <v>1.6548994265393473E-4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3.2137903747990297E-2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1.0153188289720415E-2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2.1715909350583126E-3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5.0196341956480484E-3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1.6242951535755307E-6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2.9041144842903758E-4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9.9189898322315884</v>
      </c>
      <c r="C14" s="21"/>
      <c r="D14" s="21">
        <f t="shared" ref="D14:M14" si="0">((D5)*10^9/3600)+D12</f>
        <v>26.268376949822191</v>
      </c>
      <c r="E14" s="21">
        <f t="shared" si="0"/>
        <v>167.20325715612233</v>
      </c>
      <c r="F14" s="21"/>
      <c r="G14" s="21">
        <f t="shared" si="0"/>
        <v>52812.592865125174</v>
      </c>
      <c r="H14" s="21">
        <f t="shared" si="0"/>
        <v>9925.9520032221535</v>
      </c>
      <c r="I14" s="21"/>
      <c r="J14" s="21"/>
      <c r="K14" s="21"/>
      <c r="L14" s="21"/>
      <c r="M14" s="21">
        <f t="shared" si="0"/>
        <v>3360.5256791610932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0.19932568852376106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1.9771094777697467</v>
      </c>
      <c r="C18" s="23"/>
      <c r="D18" s="23">
        <f t="shared" ref="D18:M18" si="1">D14*D16</f>
        <v>5.3062121438640828</v>
      </c>
      <c r="E18" s="23">
        <f t="shared" si="1"/>
        <v>37.955139374439774</v>
      </c>
      <c r="F18" s="23"/>
      <c r="G18" s="23">
        <f t="shared" si="1"/>
        <v>14100.962294988421</v>
      </c>
      <c r="H18" s="23">
        <f t="shared" si="1"/>
        <v>2471.5620488023164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8.4107275406056659E-3</v>
      </c>
      <c r="H50" s="321">
        <f t="shared" si="2"/>
        <v>0</v>
      </c>
      <c r="I50" s="321">
        <f t="shared" si="2"/>
        <v>0</v>
      </c>
      <c r="J50" s="321">
        <f t="shared" si="2"/>
        <v>0</v>
      </c>
      <c r="K50" s="321">
        <f t="shared" si="2"/>
        <v>0</v>
      </c>
      <c r="L50" s="321">
        <f t="shared" si="2"/>
        <v>0</v>
      </c>
      <c r="M50" s="321">
        <f t="shared" si="2"/>
        <v>4.7963927304547189E-4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8.4107275406056659E-3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4.7963927304547189E-4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2336.3132057237963</v>
      </c>
      <c r="H54" s="21">
        <f t="shared" si="3"/>
        <v>0</v>
      </c>
      <c r="I54" s="21">
        <f t="shared" si="3"/>
        <v>0</v>
      </c>
      <c r="J54" s="21">
        <f t="shared" si="3"/>
        <v>0</v>
      </c>
      <c r="K54" s="21">
        <f t="shared" si="3"/>
        <v>0</v>
      </c>
      <c r="L54" s="21">
        <f t="shared" si="3"/>
        <v>0</v>
      </c>
      <c r="M54" s="21">
        <f t="shared" si="3"/>
        <v>133.23313140151996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0.19932568852376106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623.79562592825368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2580.6598854600325</v>
      </c>
      <c r="C6" s="1216"/>
      <c r="D6" s="1201"/>
      <c r="E6" s="1201"/>
      <c r="F6" s="1219"/>
      <c r="G6" s="1222"/>
      <c r="H6" s="1213"/>
      <c r="I6" s="1201"/>
      <c r="J6" s="1201"/>
      <c r="K6" s="1201"/>
      <c r="L6" s="1205"/>
      <c r="M6" s="576"/>
      <c r="N6" s="1179"/>
      <c r="O6" s="1180"/>
      <c r="Q6" s="574"/>
      <c r="R6" s="1167"/>
      <c r="S6" s="1167"/>
    </row>
    <row r="7" spans="1:19" s="564" customFormat="1">
      <c r="A7" s="577" t="s">
        <v>252</v>
      </c>
      <c r="B7" s="578">
        <f>N57</f>
        <v>25.462499999999995</v>
      </c>
      <c r="C7" s="579">
        <f>B100</f>
        <v>0</v>
      </c>
      <c r="D7" s="580"/>
      <c r="E7" s="580">
        <f>E100</f>
        <v>0</v>
      </c>
      <c r="F7" s="581"/>
      <c r="G7" s="582"/>
      <c r="H7" s="580">
        <f>I100</f>
        <v>0</v>
      </c>
      <c r="I7" s="580">
        <f>G100+F100</f>
        <v>0</v>
      </c>
      <c r="J7" s="580">
        <f>H100+D100+C100</f>
        <v>29.95588235294117</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2606.1223854600325</v>
      </c>
      <c r="C9" s="595">
        <f t="shared" ref="C9:L9" si="0">SUM(C7:C8)</f>
        <v>0</v>
      </c>
      <c r="D9" s="595">
        <f t="shared" si="0"/>
        <v>0</v>
      </c>
      <c r="E9" s="595">
        <f t="shared" si="0"/>
        <v>0</v>
      </c>
      <c r="F9" s="595">
        <f t="shared" si="0"/>
        <v>0</v>
      </c>
      <c r="G9" s="595">
        <f t="shared" si="0"/>
        <v>0</v>
      </c>
      <c r="H9" s="595">
        <f t="shared" si="0"/>
        <v>0</v>
      </c>
      <c r="I9" s="595">
        <f t="shared" si="0"/>
        <v>0</v>
      </c>
      <c r="J9" s="595">
        <f t="shared" si="0"/>
        <v>29.95588235294117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36.374999999999993</v>
      </c>
      <c r="C16" s="611">
        <f>B101</f>
        <v>0</v>
      </c>
      <c r="D16" s="612"/>
      <c r="E16" s="612">
        <f>E101</f>
        <v>0</v>
      </c>
      <c r="F16" s="613"/>
      <c r="G16" s="614"/>
      <c r="H16" s="611">
        <f>I101</f>
        <v>0</v>
      </c>
      <c r="I16" s="612">
        <f>G101+F101</f>
        <v>0</v>
      </c>
      <c r="J16" s="612">
        <f>H101+D101+C101</f>
        <v>42.794117647058819</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36.374999999999993</v>
      </c>
      <c r="C19" s="594">
        <f>SUM(C16:C18)</f>
        <v>0</v>
      </c>
      <c r="D19" s="594">
        <f t="shared" ref="D19:M19" si="1">SUM(D16:D18)</f>
        <v>0</v>
      </c>
      <c r="E19" s="594">
        <f t="shared" si="1"/>
        <v>0</v>
      </c>
      <c r="F19" s="594">
        <f t="shared" si="1"/>
        <v>0</v>
      </c>
      <c r="G19" s="594">
        <f t="shared" si="1"/>
        <v>0</v>
      </c>
      <c r="H19" s="594">
        <f t="shared" si="1"/>
        <v>0</v>
      </c>
      <c r="I19" s="594">
        <f t="shared" si="1"/>
        <v>0</v>
      </c>
      <c r="J19" s="594">
        <f t="shared" si="1"/>
        <v>42.794117647058819</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23024</v>
      </c>
      <c r="C27" s="852">
        <v>1755</v>
      </c>
      <c r="D27" s="673" t="s">
        <v>834</v>
      </c>
      <c r="E27" s="672" t="s">
        <v>835</v>
      </c>
      <c r="F27" s="672" t="s">
        <v>836</v>
      </c>
      <c r="G27" s="672" t="s">
        <v>837</v>
      </c>
      <c r="H27" s="672" t="s">
        <v>838</v>
      </c>
      <c r="I27" s="672" t="s">
        <v>835</v>
      </c>
      <c r="J27" s="851">
        <v>41768</v>
      </c>
      <c r="K27" s="851">
        <v>41768</v>
      </c>
      <c r="L27" s="672" t="s">
        <v>839</v>
      </c>
      <c r="M27" s="672">
        <v>9.6999999999999993</v>
      </c>
      <c r="N27" s="672">
        <v>25.462499999999995</v>
      </c>
      <c r="O27" s="672">
        <v>36.374999999999993</v>
      </c>
      <c r="P27" s="672">
        <v>0</v>
      </c>
      <c r="Q27" s="672">
        <v>72.749999999999986</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25.462499999999995</v>
      </c>
      <c r="O57" s="630">
        <f t="shared" ref="O57:W57" si="2">SUM(O27:O56)</f>
        <v>36.374999999999993</v>
      </c>
      <c r="P57" s="630">
        <f t="shared" si="2"/>
        <v>0</v>
      </c>
      <c r="Q57" s="630">
        <f t="shared" si="2"/>
        <v>72.749999999999986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25.462499999999995</v>
      </c>
      <c r="O60" s="635">
        <f t="shared" si="4"/>
        <v>36.374999999999993</v>
      </c>
      <c r="P60" s="635">
        <f t="shared" si="4"/>
        <v>0</v>
      </c>
      <c r="Q60" s="635">
        <f t="shared" si="4"/>
        <v>72.749999999999986</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29.95588235294117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42.794117647058819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6995.2397499999997</v>
      </c>
      <c r="D10" s="719">
        <f ca="1">tertiair!C16</f>
        <v>0</v>
      </c>
      <c r="E10" s="719">
        <f ca="1">tertiair!D16</f>
        <v>5198.7726119999998</v>
      </c>
      <c r="F10" s="719">
        <f>tertiair!E16</f>
        <v>71.497117802040663</v>
      </c>
      <c r="G10" s="719">
        <f ca="1">tertiair!F16</f>
        <v>939.81364933766713</v>
      </c>
      <c r="H10" s="719">
        <f>tertiair!G16</f>
        <v>0</v>
      </c>
      <c r="I10" s="719">
        <f>tertiair!H16</f>
        <v>0</v>
      </c>
      <c r="J10" s="719">
        <f>tertiair!I16</f>
        <v>0</v>
      </c>
      <c r="K10" s="719">
        <f>tertiair!J16</f>
        <v>0</v>
      </c>
      <c r="L10" s="719">
        <f>tertiair!K16</f>
        <v>0</v>
      </c>
      <c r="M10" s="719">
        <f ca="1">tertiair!L16</f>
        <v>0</v>
      </c>
      <c r="N10" s="719">
        <f>tertiair!M16</f>
        <v>0</v>
      </c>
      <c r="O10" s="719">
        <f ca="1">tertiair!N16</f>
        <v>502.65328357287484</v>
      </c>
      <c r="P10" s="719">
        <f>tertiair!O16</f>
        <v>0</v>
      </c>
      <c r="Q10" s="720">
        <f>tertiair!P16</f>
        <v>19.066666666666666</v>
      </c>
      <c r="R10" s="722">
        <f ca="1">SUM(C10:Q10)</f>
        <v>13727.043079379249</v>
      </c>
      <c r="S10" s="67"/>
    </row>
    <row r="11" spans="1:19" s="475" customFormat="1">
      <c r="A11" s="871" t="s">
        <v>225</v>
      </c>
      <c r="B11" s="876"/>
      <c r="C11" s="719">
        <f>huishoudens!B8</f>
        <v>16796.687619032389</v>
      </c>
      <c r="D11" s="719">
        <f>huishoudens!C8</f>
        <v>0</v>
      </c>
      <c r="E11" s="719">
        <f>huishoudens!D8</f>
        <v>18126.997900000002</v>
      </c>
      <c r="F11" s="719">
        <f>huishoudens!E8</f>
        <v>2450.1962297263044</v>
      </c>
      <c r="G11" s="719">
        <f>huishoudens!F8</f>
        <v>39955.018345776072</v>
      </c>
      <c r="H11" s="719">
        <f>huishoudens!G8</f>
        <v>0</v>
      </c>
      <c r="I11" s="719">
        <f>huishoudens!H8</f>
        <v>0</v>
      </c>
      <c r="J11" s="719">
        <f>huishoudens!I8</f>
        <v>0</v>
      </c>
      <c r="K11" s="719">
        <f>huishoudens!J8</f>
        <v>242.70214389103506</v>
      </c>
      <c r="L11" s="719">
        <f>huishoudens!K8</f>
        <v>0</v>
      </c>
      <c r="M11" s="719">
        <f>huishoudens!L8</f>
        <v>0</v>
      </c>
      <c r="N11" s="719">
        <f>huishoudens!M8</f>
        <v>0</v>
      </c>
      <c r="O11" s="719">
        <f>huishoudens!N8</f>
        <v>7725.7520697178661</v>
      </c>
      <c r="P11" s="719">
        <f>huishoudens!O8</f>
        <v>129.75666666666669</v>
      </c>
      <c r="Q11" s="720">
        <f>huishoudens!P8</f>
        <v>362.26666666666665</v>
      </c>
      <c r="R11" s="722">
        <f>SUM(C11:Q11)</f>
        <v>85789.377641476996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1750.373</v>
      </c>
      <c r="D13" s="719">
        <f>industrie!C18</f>
        <v>0</v>
      </c>
      <c r="E13" s="719">
        <f>industrie!D18</f>
        <v>512.22144600000001</v>
      </c>
      <c r="F13" s="719">
        <f>industrie!E18</f>
        <v>205.34649431004425</v>
      </c>
      <c r="G13" s="719">
        <f>industrie!F18</f>
        <v>2121.8994978399915</v>
      </c>
      <c r="H13" s="719">
        <f>industrie!G18</f>
        <v>0</v>
      </c>
      <c r="I13" s="719">
        <f>industrie!H18</f>
        <v>0</v>
      </c>
      <c r="J13" s="719">
        <f>industrie!I18</f>
        <v>0</v>
      </c>
      <c r="K13" s="719">
        <f>industrie!J18</f>
        <v>19.258943417979417</v>
      </c>
      <c r="L13" s="719">
        <f>industrie!K18</f>
        <v>0</v>
      </c>
      <c r="M13" s="719">
        <f>industrie!L18</f>
        <v>0</v>
      </c>
      <c r="N13" s="719">
        <f>industrie!M18</f>
        <v>0</v>
      </c>
      <c r="O13" s="719">
        <f>industrie!N18</f>
        <v>685.47136788608168</v>
      </c>
      <c r="P13" s="719">
        <f>industrie!O18</f>
        <v>0</v>
      </c>
      <c r="Q13" s="720">
        <f>industrie!P18</f>
        <v>0</v>
      </c>
      <c r="R13" s="722">
        <f>SUM(C13:Q13)</f>
        <v>5294.5707494540966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25542.300369032389</v>
      </c>
      <c r="D15" s="724">
        <f t="shared" ref="D15:Q15" ca="1" si="0">SUM(D9:D14)</f>
        <v>0</v>
      </c>
      <c r="E15" s="724">
        <f t="shared" ca="1" si="0"/>
        <v>23837.991958000002</v>
      </c>
      <c r="F15" s="724">
        <f t="shared" si="0"/>
        <v>2727.0398418383893</v>
      </c>
      <c r="G15" s="724">
        <f t="shared" ca="1" si="0"/>
        <v>43016.731492953732</v>
      </c>
      <c r="H15" s="724">
        <f t="shared" si="0"/>
        <v>0</v>
      </c>
      <c r="I15" s="724">
        <f t="shared" si="0"/>
        <v>0</v>
      </c>
      <c r="J15" s="724">
        <f t="shared" si="0"/>
        <v>0</v>
      </c>
      <c r="K15" s="724">
        <f t="shared" si="0"/>
        <v>261.96108730901449</v>
      </c>
      <c r="L15" s="724">
        <f t="shared" si="0"/>
        <v>0</v>
      </c>
      <c r="M15" s="724">
        <f t="shared" ca="1" si="0"/>
        <v>0</v>
      </c>
      <c r="N15" s="724">
        <f t="shared" si="0"/>
        <v>0</v>
      </c>
      <c r="O15" s="724">
        <f t="shared" ca="1" si="0"/>
        <v>8913.8767211768209</v>
      </c>
      <c r="P15" s="724">
        <f t="shared" si="0"/>
        <v>129.75666666666669</v>
      </c>
      <c r="Q15" s="725">
        <f t="shared" si="0"/>
        <v>381.33333333333331</v>
      </c>
      <c r="R15" s="726">
        <f ca="1">SUM(R9:R14)</f>
        <v>104810.99147031034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2336.3132057237963</v>
      </c>
      <c r="I18" s="719">
        <f>transport!H54</f>
        <v>0</v>
      </c>
      <c r="J18" s="719">
        <f>transport!I54</f>
        <v>0</v>
      </c>
      <c r="K18" s="719">
        <f>transport!J54</f>
        <v>0</v>
      </c>
      <c r="L18" s="719">
        <f>transport!K54</f>
        <v>0</v>
      </c>
      <c r="M18" s="719">
        <f>transport!L54</f>
        <v>0</v>
      </c>
      <c r="N18" s="719">
        <f>transport!M54</f>
        <v>133.23313140151996</v>
      </c>
      <c r="O18" s="719">
        <f>transport!N54</f>
        <v>0</v>
      </c>
      <c r="P18" s="719">
        <f>transport!O54</f>
        <v>0</v>
      </c>
      <c r="Q18" s="720">
        <f>transport!P54</f>
        <v>0</v>
      </c>
      <c r="R18" s="722">
        <f>SUM(C18:Q18)</f>
        <v>2469.5463371253163</v>
      </c>
      <c r="S18" s="67"/>
    </row>
    <row r="19" spans="1:19" s="475" customFormat="1" ht="15" thickBot="1">
      <c r="A19" s="871" t="s">
        <v>307</v>
      </c>
      <c r="B19" s="876"/>
      <c r="C19" s="728">
        <f>transport!B14</f>
        <v>9.9189898322315884</v>
      </c>
      <c r="D19" s="728">
        <f>transport!C14</f>
        <v>0</v>
      </c>
      <c r="E19" s="728">
        <f>transport!D14</f>
        <v>26.268376949822191</v>
      </c>
      <c r="F19" s="728">
        <f>transport!E14</f>
        <v>167.20325715612233</v>
      </c>
      <c r="G19" s="728">
        <f>transport!F14</f>
        <v>0</v>
      </c>
      <c r="H19" s="728">
        <f>transport!G14</f>
        <v>52812.592865125174</v>
      </c>
      <c r="I19" s="728">
        <f>transport!H14</f>
        <v>9925.9520032221535</v>
      </c>
      <c r="J19" s="728">
        <f>transport!I14</f>
        <v>0</v>
      </c>
      <c r="K19" s="728">
        <f>transport!J14</f>
        <v>0</v>
      </c>
      <c r="L19" s="728">
        <f>transport!K14</f>
        <v>0</v>
      </c>
      <c r="M19" s="728">
        <f>transport!L14</f>
        <v>0</v>
      </c>
      <c r="N19" s="728">
        <f>transport!M14</f>
        <v>3360.5256791610932</v>
      </c>
      <c r="O19" s="728">
        <f>transport!N14</f>
        <v>0</v>
      </c>
      <c r="P19" s="728">
        <f>transport!O14</f>
        <v>0</v>
      </c>
      <c r="Q19" s="729">
        <f>transport!P14</f>
        <v>0</v>
      </c>
      <c r="R19" s="730">
        <f>SUM(C19:Q19)</f>
        <v>66302.461171446601</v>
      </c>
      <c r="S19" s="67"/>
    </row>
    <row r="20" spans="1:19" s="475" customFormat="1" ht="15.75" thickBot="1">
      <c r="A20" s="731" t="s">
        <v>230</v>
      </c>
      <c r="B20" s="879"/>
      <c r="C20" s="874">
        <f>SUM(C17:C19)</f>
        <v>9.9189898322315884</v>
      </c>
      <c r="D20" s="732">
        <f t="shared" ref="D20:R20" si="1">SUM(D17:D19)</f>
        <v>0</v>
      </c>
      <c r="E20" s="732">
        <f t="shared" si="1"/>
        <v>26.268376949822191</v>
      </c>
      <c r="F20" s="732">
        <f t="shared" si="1"/>
        <v>167.20325715612233</v>
      </c>
      <c r="G20" s="732">
        <f t="shared" si="1"/>
        <v>0</v>
      </c>
      <c r="H20" s="732">
        <f t="shared" si="1"/>
        <v>55148.906070848971</v>
      </c>
      <c r="I20" s="732">
        <f t="shared" si="1"/>
        <v>9925.9520032221535</v>
      </c>
      <c r="J20" s="732">
        <f t="shared" si="1"/>
        <v>0</v>
      </c>
      <c r="K20" s="732">
        <f t="shared" si="1"/>
        <v>0</v>
      </c>
      <c r="L20" s="732">
        <f t="shared" si="1"/>
        <v>0</v>
      </c>
      <c r="M20" s="732">
        <f t="shared" si="1"/>
        <v>0</v>
      </c>
      <c r="N20" s="732">
        <f t="shared" si="1"/>
        <v>3493.7588105626132</v>
      </c>
      <c r="O20" s="732">
        <f t="shared" si="1"/>
        <v>0</v>
      </c>
      <c r="P20" s="732">
        <f t="shared" si="1"/>
        <v>0</v>
      </c>
      <c r="Q20" s="733">
        <f t="shared" si="1"/>
        <v>0</v>
      </c>
      <c r="R20" s="734">
        <f t="shared" si="1"/>
        <v>68772.007508571915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1020.853</v>
      </c>
      <c r="D22" s="728">
        <f>+landbouw!C8</f>
        <v>36.374999999999993</v>
      </c>
      <c r="E22" s="728">
        <f>+landbouw!D8</f>
        <v>189.98555400000001</v>
      </c>
      <c r="F22" s="728">
        <f>+landbouw!E8</f>
        <v>9.45556805853969</v>
      </c>
      <c r="G22" s="728">
        <f>+landbouw!F8</f>
        <v>2590.0985332969285</v>
      </c>
      <c r="H22" s="728">
        <f>+landbouw!G8</f>
        <v>0</v>
      </c>
      <c r="I22" s="728">
        <f>+landbouw!H8</f>
        <v>0</v>
      </c>
      <c r="J22" s="728">
        <f>+landbouw!I8</f>
        <v>0</v>
      </c>
      <c r="K22" s="728">
        <f>+landbouw!J8</f>
        <v>156.50815765273083</v>
      </c>
      <c r="L22" s="728">
        <f>+landbouw!K8</f>
        <v>0</v>
      </c>
      <c r="M22" s="728">
        <f>+landbouw!L8</f>
        <v>0</v>
      </c>
      <c r="N22" s="728">
        <f>+landbouw!M8</f>
        <v>0</v>
      </c>
      <c r="O22" s="728">
        <f>+landbouw!N8</f>
        <v>0</v>
      </c>
      <c r="P22" s="728">
        <f>+landbouw!O8</f>
        <v>0</v>
      </c>
      <c r="Q22" s="729">
        <f>+landbouw!P8</f>
        <v>0</v>
      </c>
      <c r="R22" s="730">
        <f>SUM(C22:Q22)</f>
        <v>4003.2758130081993</v>
      </c>
      <c r="S22" s="67"/>
    </row>
    <row r="23" spans="1:19" s="475" customFormat="1" ht="17.25" thickTop="1" thickBot="1">
      <c r="A23" s="735" t="s">
        <v>116</v>
      </c>
      <c r="B23" s="865"/>
      <c r="C23" s="736">
        <f ca="1">C20+C15+C22</f>
        <v>26573.072358864621</v>
      </c>
      <c r="D23" s="736">
        <f t="shared" ref="D23:Q23" ca="1" si="2">D20+D15+D22</f>
        <v>36.374999999999993</v>
      </c>
      <c r="E23" s="736">
        <f t="shared" ca="1" si="2"/>
        <v>24054.245888949823</v>
      </c>
      <c r="F23" s="736">
        <f t="shared" si="2"/>
        <v>2903.6986670530509</v>
      </c>
      <c r="G23" s="736">
        <f t="shared" ca="1" si="2"/>
        <v>45606.83002625066</v>
      </c>
      <c r="H23" s="736">
        <f t="shared" si="2"/>
        <v>55148.906070848971</v>
      </c>
      <c r="I23" s="736">
        <f t="shared" si="2"/>
        <v>9925.9520032221535</v>
      </c>
      <c r="J23" s="736">
        <f t="shared" si="2"/>
        <v>0</v>
      </c>
      <c r="K23" s="736">
        <f t="shared" si="2"/>
        <v>418.46924496174529</v>
      </c>
      <c r="L23" s="736">
        <f t="shared" si="2"/>
        <v>0</v>
      </c>
      <c r="M23" s="736">
        <f t="shared" ca="1" si="2"/>
        <v>0</v>
      </c>
      <c r="N23" s="736">
        <f t="shared" si="2"/>
        <v>3493.7588105626132</v>
      </c>
      <c r="O23" s="736">
        <f t="shared" ca="1" si="2"/>
        <v>8913.8767211768209</v>
      </c>
      <c r="P23" s="736">
        <f t="shared" si="2"/>
        <v>129.75666666666669</v>
      </c>
      <c r="Q23" s="737">
        <f t="shared" si="2"/>
        <v>381.33333333333331</v>
      </c>
      <c r="R23" s="738">
        <f ca="1">R20+R15+R22</f>
        <v>177586.27479189046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1394.3309795575321</v>
      </c>
      <c r="D36" s="719">
        <f ca="1">tertiair!C20</f>
        <v>0</v>
      </c>
      <c r="E36" s="719">
        <f ca="1">tertiair!D20</f>
        <v>1050.152067624</v>
      </c>
      <c r="F36" s="719">
        <f>tertiair!E20</f>
        <v>16.22984574106323</v>
      </c>
      <c r="G36" s="719">
        <f ca="1">tertiair!F20</f>
        <v>250.93024437315714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2711.6431372957527</v>
      </c>
    </row>
    <row r="37" spans="1:18">
      <c r="A37" s="886" t="s">
        <v>225</v>
      </c>
      <c r="B37" s="893"/>
      <c r="C37" s="719">
        <f ca="1">huishoudens!B12</f>
        <v>3348.011324582164</v>
      </c>
      <c r="D37" s="719">
        <f ca="1">huishoudens!C12</f>
        <v>0</v>
      </c>
      <c r="E37" s="719">
        <f>huishoudens!D12</f>
        <v>3661.6535758000005</v>
      </c>
      <c r="F37" s="719">
        <f>huishoudens!E12</f>
        <v>556.19454414787117</v>
      </c>
      <c r="G37" s="719">
        <f>huishoudens!F12</f>
        <v>10667.989898322212</v>
      </c>
      <c r="H37" s="719">
        <f>huishoudens!G12</f>
        <v>0</v>
      </c>
      <c r="I37" s="719">
        <f>huishoudens!H12</f>
        <v>0</v>
      </c>
      <c r="J37" s="719">
        <f>huishoudens!I12</f>
        <v>0</v>
      </c>
      <c r="K37" s="719">
        <f>huishoudens!J12</f>
        <v>85.916558937426402</v>
      </c>
      <c r="L37" s="719">
        <f>huishoudens!K12</f>
        <v>0</v>
      </c>
      <c r="M37" s="719">
        <f>huishoudens!L12</f>
        <v>0</v>
      </c>
      <c r="N37" s="719">
        <f>huishoudens!M12</f>
        <v>0</v>
      </c>
      <c r="O37" s="719">
        <f>huishoudens!N12</f>
        <v>0</v>
      </c>
      <c r="P37" s="719">
        <f>huishoudens!O12</f>
        <v>0</v>
      </c>
      <c r="Q37" s="829">
        <f>huishoudens!P12</f>
        <v>0</v>
      </c>
      <c r="R37" s="918">
        <f ca="1">SUM(C37:Q37)</f>
        <v>18319.765901789677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348.89430339840123</v>
      </c>
      <c r="D39" s="719">
        <f ca="1">industrie!C22</f>
        <v>0</v>
      </c>
      <c r="E39" s="719">
        <f>industrie!D22</f>
        <v>103.46873209200001</v>
      </c>
      <c r="F39" s="719">
        <f>industrie!E22</f>
        <v>46.613654208380048</v>
      </c>
      <c r="G39" s="719">
        <f>industrie!F22</f>
        <v>566.5471659232777</v>
      </c>
      <c r="H39" s="719">
        <f>industrie!G22</f>
        <v>0</v>
      </c>
      <c r="I39" s="719">
        <f>industrie!H22</f>
        <v>0</v>
      </c>
      <c r="J39" s="719">
        <f>industrie!I22</f>
        <v>0</v>
      </c>
      <c r="K39" s="719">
        <f>industrie!J22</f>
        <v>6.8176659699647129</v>
      </c>
      <c r="L39" s="719">
        <f>industrie!K22</f>
        <v>0</v>
      </c>
      <c r="M39" s="719">
        <f>industrie!L22</f>
        <v>0</v>
      </c>
      <c r="N39" s="719">
        <f>industrie!M22</f>
        <v>0</v>
      </c>
      <c r="O39" s="719">
        <f>industrie!N22</f>
        <v>0</v>
      </c>
      <c r="P39" s="719">
        <f>industrie!O22</f>
        <v>0</v>
      </c>
      <c r="Q39" s="829">
        <f>industrie!P22</f>
        <v>0</v>
      </c>
      <c r="R39" s="919">
        <f ca="1">SUM(C39:Q39)</f>
        <v>1072.3415215920238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5091.2366075380978</v>
      </c>
      <c r="D41" s="764">
        <f t="shared" ref="D41:R41" ca="1" si="4">SUM(D35:D40)</f>
        <v>0</v>
      </c>
      <c r="E41" s="764">
        <f t="shared" ca="1" si="4"/>
        <v>4815.2743755160009</v>
      </c>
      <c r="F41" s="764">
        <f t="shared" si="4"/>
        <v>619.03804409731447</v>
      </c>
      <c r="G41" s="764">
        <f t="shared" ca="1" si="4"/>
        <v>11485.467308618647</v>
      </c>
      <c r="H41" s="764">
        <f t="shared" si="4"/>
        <v>0</v>
      </c>
      <c r="I41" s="764">
        <f t="shared" si="4"/>
        <v>0</v>
      </c>
      <c r="J41" s="764">
        <f t="shared" si="4"/>
        <v>0</v>
      </c>
      <c r="K41" s="764">
        <f t="shared" si="4"/>
        <v>92.734224907391109</v>
      </c>
      <c r="L41" s="764">
        <f t="shared" si="4"/>
        <v>0</v>
      </c>
      <c r="M41" s="764">
        <f t="shared" ca="1" si="4"/>
        <v>0</v>
      </c>
      <c r="N41" s="764">
        <f t="shared" si="4"/>
        <v>0</v>
      </c>
      <c r="O41" s="764">
        <f t="shared" ca="1" si="4"/>
        <v>0</v>
      </c>
      <c r="P41" s="764">
        <f t="shared" si="4"/>
        <v>0</v>
      </c>
      <c r="Q41" s="765">
        <f t="shared" si="4"/>
        <v>0</v>
      </c>
      <c r="R41" s="766">
        <f t="shared" ca="1" si="4"/>
        <v>22103.750560677454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623.79562592825368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623.79562592825368</v>
      </c>
    </row>
    <row r="45" spans="1:18" ht="15" thickBot="1">
      <c r="A45" s="889" t="s">
        <v>307</v>
      </c>
      <c r="B45" s="899"/>
      <c r="C45" s="728">
        <f ca="1">transport!B18</f>
        <v>1.9771094777697467</v>
      </c>
      <c r="D45" s="728">
        <f>transport!C18</f>
        <v>0</v>
      </c>
      <c r="E45" s="728">
        <f>transport!D18</f>
        <v>5.3062121438640828</v>
      </c>
      <c r="F45" s="728">
        <f>transport!E18</f>
        <v>37.955139374439774</v>
      </c>
      <c r="G45" s="728">
        <f>transport!F18</f>
        <v>0</v>
      </c>
      <c r="H45" s="728">
        <f>transport!G18</f>
        <v>14100.962294988421</v>
      </c>
      <c r="I45" s="728">
        <f>transport!H18</f>
        <v>2471.5620488023164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16617.762804786813</v>
      </c>
    </row>
    <row r="46" spans="1:18" ht="15.75" thickBot="1">
      <c r="A46" s="887" t="s">
        <v>230</v>
      </c>
      <c r="B46" s="900"/>
      <c r="C46" s="764">
        <f t="shared" ref="C46:R46" ca="1" si="5">SUM(C43:C45)</f>
        <v>1.9771094777697467</v>
      </c>
      <c r="D46" s="764">
        <f t="shared" ca="1" si="5"/>
        <v>0</v>
      </c>
      <c r="E46" s="764">
        <f t="shared" si="5"/>
        <v>5.3062121438640828</v>
      </c>
      <c r="F46" s="764">
        <f t="shared" si="5"/>
        <v>37.955139374439774</v>
      </c>
      <c r="G46" s="764">
        <f t="shared" si="5"/>
        <v>0</v>
      </c>
      <c r="H46" s="764">
        <f t="shared" si="5"/>
        <v>14724.757920916676</v>
      </c>
      <c r="I46" s="764">
        <f t="shared" si="5"/>
        <v>2471.5620488023164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17241.558430715068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203.48222710654704</v>
      </c>
      <c r="D48" s="719">
        <f ca="1">+landbouw!C12</f>
        <v>0</v>
      </c>
      <c r="E48" s="719">
        <f>+landbouw!D12</f>
        <v>38.377081908000001</v>
      </c>
      <c r="F48" s="719">
        <f>+landbouw!E12</f>
        <v>2.1464139492885095</v>
      </c>
      <c r="G48" s="719">
        <f>+landbouw!F12</f>
        <v>691.55630839027992</v>
      </c>
      <c r="H48" s="719">
        <f>+landbouw!G12</f>
        <v>0</v>
      </c>
      <c r="I48" s="719">
        <f>+landbouw!H12</f>
        <v>0</v>
      </c>
      <c r="J48" s="719">
        <f>+landbouw!I12</f>
        <v>0</v>
      </c>
      <c r="K48" s="719">
        <f>+landbouw!J12</f>
        <v>55.40388780906671</v>
      </c>
      <c r="L48" s="719">
        <f>+landbouw!K12</f>
        <v>0</v>
      </c>
      <c r="M48" s="719">
        <f>+landbouw!L12</f>
        <v>0</v>
      </c>
      <c r="N48" s="719">
        <f>+landbouw!M12</f>
        <v>0</v>
      </c>
      <c r="O48" s="719">
        <f>+landbouw!N12</f>
        <v>0</v>
      </c>
      <c r="P48" s="719">
        <f>+landbouw!O12</f>
        <v>0</v>
      </c>
      <c r="Q48" s="720">
        <f>+landbouw!P12</f>
        <v>0</v>
      </c>
      <c r="R48" s="762">
        <f ca="1">SUM(C48:Q48)</f>
        <v>990.96591916318221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5296.6959441224144</v>
      </c>
      <c r="D53" s="774">
        <f t="shared" ref="D53:Q53" ca="1" si="6">D41+D46+D48</f>
        <v>0</v>
      </c>
      <c r="E53" s="774">
        <f t="shared" ca="1" si="6"/>
        <v>4858.9576695678652</v>
      </c>
      <c r="F53" s="774">
        <f t="shared" si="6"/>
        <v>659.13959742104282</v>
      </c>
      <c r="G53" s="774">
        <f t="shared" ca="1" si="6"/>
        <v>12177.023617008927</v>
      </c>
      <c r="H53" s="774">
        <f t="shared" si="6"/>
        <v>14724.757920916676</v>
      </c>
      <c r="I53" s="774">
        <f t="shared" si="6"/>
        <v>2471.5620488023164</v>
      </c>
      <c r="J53" s="774">
        <f t="shared" si="6"/>
        <v>0</v>
      </c>
      <c r="K53" s="774">
        <f t="shared" si="6"/>
        <v>148.13811271645781</v>
      </c>
      <c r="L53" s="774">
        <f t="shared" si="6"/>
        <v>0</v>
      </c>
      <c r="M53" s="774">
        <f t="shared" ca="1" si="6"/>
        <v>0</v>
      </c>
      <c r="N53" s="774">
        <f t="shared" si="6"/>
        <v>0</v>
      </c>
      <c r="O53" s="774">
        <f t="shared" ca="1" si="6"/>
        <v>0</v>
      </c>
      <c r="P53" s="774">
        <f>P41+P46+P48</f>
        <v>0</v>
      </c>
      <c r="Q53" s="775">
        <f t="shared" si="6"/>
        <v>0</v>
      </c>
      <c r="R53" s="776">
        <f ca="1">R41+R46+R48</f>
        <v>40336.274910555701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0.19932568852376106</v>
      </c>
      <c r="D55" s="837">
        <f t="shared" ca="1" si="7"/>
        <v>0</v>
      </c>
      <c r="E55" s="837">
        <f t="shared" ca="1" si="7"/>
        <v>0.20200000000000004</v>
      </c>
      <c r="F55" s="837">
        <f t="shared" si="7"/>
        <v>0.22700000000000009</v>
      </c>
      <c r="G55" s="837">
        <f t="shared" ca="1" si="7"/>
        <v>0.26700000000000002</v>
      </c>
      <c r="H55" s="837">
        <f t="shared" si="7"/>
        <v>0.26700000000000002</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2580.6598854600325</v>
      </c>
      <c r="C66" s="796">
        <f>'lokale energieproductie'!B6</f>
        <v>2580.6598854600325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25.462499999999995</v>
      </c>
      <c r="C67" s="795">
        <f>B67*IFERROR(SUM(J67:L67)/SUM(D67:M67),0)</f>
        <v>25.462499999999995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29.95588235294117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2606.1223854600325</v>
      </c>
      <c r="C69" s="804">
        <f>SUM(C64:C68)</f>
        <v>2606.1223854600325</v>
      </c>
      <c r="D69" s="805">
        <f t="shared" ref="D69:M69" si="8">SUM(D67:D68)</f>
        <v>0</v>
      </c>
      <c r="E69" s="805">
        <f t="shared" si="8"/>
        <v>0</v>
      </c>
      <c r="F69" s="805">
        <f t="shared" si="8"/>
        <v>0</v>
      </c>
      <c r="G69" s="805">
        <f t="shared" si="8"/>
        <v>0</v>
      </c>
      <c r="H69" s="805">
        <f t="shared" si="8"/>
        <v>0</v>
      </c>
      <c r="I69" s="805">
        <f t="shared" si="8"/>
        <v>0</v>
      </c>
      <c r="J69" s="805">
        <f t="shared" si="8"/>
        <v>0</v>
      </c>
      <c r="K69" s="805">
        <f t="shared" si="8"/>
        <v>29.95588235294117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36.374999999999993</v>
      </c>
      <c r="C78" s="818">
        <f>B78*IFERROR(SUM(I78:L78)/SUM(D78:M78),0)</f>
        <v>36.374999999999993</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42.794117647058819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36.374999999999993</v>
      </c>
      <c r="C81" s="804">
        <f>SUM(C78:C80)</f>
        <v>36.374999999999993</v>
      </c>
      <c r="D81" s="804">
        <f t="shared" ref="D81:P81" si="9">SUM(D78:D80)</f>
        <v>0</v>
      </c>
      <c r="E81" s="804">
        <f t="shared" si="9"/>
        <v>0</v>
      </c>
      <c r="F81" s="804">
        <f t="shared" si="9"/>
        <v>0</v>
      </c>
      <c r="G81" s="804">
        <f t="shared" si="9"/>
        <v>0</v>
      </c>
      <c r="H81" s="804">
        <f t="shared" si="9"/>
        <v>0</v>
      </c>
      <c r="I81" s="804">
        <f t="shared" si="9"/>
        <v>0</v>
      </c>
      <c r="J81" s="804">
        <f t="shared" si="9"/>
        <v>0</v>
      </c>
      <c r="K81" s="804">
        <f t="shared" si="9"/>
        <v>42.794117647058819</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16796.687619032389</v>
      </c>
      <c r="C4" s="479">
        <f>huishoudens!C8</f>
        <v>0</v>
      </c>
      <c r="D4" s="479">
        <f>huishoudens!D8</f>
        <v>18126.997900000002</v>
      </c>
      <c r="E4" s="479">
        <f>huishoudens!E8</f>
        <v>2450.1962297263044</v>
      </c>
      <c r="F4" s="479">
        <f>huishoudens!F8</f>
        <v>39955.018345776072</v>
      </c>
      <c r="G4" s="479">
        <f>huishoudens!G8</f>
        <v>0</v>
      </c>
      <c r="H4" s="479">
        <f>huishoudens!H8</f>
        <v>0</v>
      </c>
      <c r="I4" s="479">
        <f>huishoudens!I8</f>
        <v>0</v>
      </c>
      <c r="J4" s="479">
        <f>huishoudens!J8</f>
        <v>242.70214389103506</v>
      </c>
      <c r="K4" s="479">
        <f>huishoudens!K8</f>
        <v>0</v>
      </c>
      <c r="L4" s="479">
        <f>huishoudens!L8</f>
        <v>0</v>
      </c>
      <c r="M4" s="479">
        <f>huishoudens!M8</f>
        <v>0</v>
      </c>
      <c r="N4" s="479">
        <f>huishoudens!N8</f>
        <v>7725.7520697178661</v>
      </c>
      <c r="O4" s="479">
        <f>huishoudens!O8</f>
        <v>129.75666666666669</v>
      </c>
      <c r="P4" s="480">
        <f>huishoudens!P8</f>
        <v>362.26666666666665</v>
      </c>
      <c r="Q4" s="481">
        <f>SUM(B4:P4)</f>
        <v>85789.377641476996</v>
      </c>
    </row>
    <row r="5" spans="1:17">
      <c r="A5" s="478" t="s">
        <v>156</v>
      </c>
      <c r="B5" s="479">
        <f ca="1">tertiair!B16</f>
        <v>6463.41075</v>
      </c>
      <c r="C5" s="479">
        <f ca="1">tertiair!C16</f>
        <v>0</v>
      </c>
      <c r="D5" s="479">
        <f ca="1">tertiair!D16</f>
        <v>5198.7726119999998</v>
      </c>
      <c r="E5" s="479">
        <f>tertiair!E16</f>
        <v>71.497117802040663</v>
      </c>
      <c r="F5" s="479">
        <f ca="1">tertiair!F16</f>
        <v>939.81364933766713</v>
      </c>
      <c r="G5" s="479">
        <f>tertiair!G16</f>
        <v>0</v>
      </c>
      <c r="H5" s="479">
        <f>tertiair!H16</f>
        <v>0</v>
      </c>
      <c r="I5" s="479">
        <f>tertiair!I16</f>
        <v>0</v>
      </c>
      <c r="J5" s="479">
        <f>tertiair!J16</f>
        <v>0</v>
      </c>
      <c r="K5" s="479">
        <f>tertiair!K16</f>
        <v>0</v>
      </c>
      <c r="L5" s="479">
        <f ca="1">tertiair!L16</f>
        <v>0</v>
      </c>
      <c r="M5" s="479">
        <f>tertiair!M16</f>
        <v>0</v>
      </c>
      <c r="N5" s="479">
        <f ca="1">tertiair!N16</f>
        <v>502.65328357287484</v>
      </c>
      <c r="O5" s="479">
        <f>tertiair!O16</f>
        <v>0</v>
      </c>
      <c r="P5" s="480">
        <f>tertiair!P16</f>
        <v>19.066666666666666</v>
      </c>
      <c r="Q5" s="478">
        <f t="shared" ref="Q5:Q13" ca="1" si="0">SUM(B5:P5)</f>
        <v>13195.21407937925</v>
      </c>
    </row>
    <row r="6" spans="1:17">
      <c r="A6" s="478" t="s">
        <v>194</v>
      </c>
      <c r="B6" s="479">
        <f>'openbare verlichting'!B8</f>
        <v>531.82899999999995</v>
      </c>
      <c r="C6" s="479"/>
      <c r="D6" s="479"/>
      <c r="E6" s="479"/>
      <c r="F6" s="479"/>
      <c r="G6" s="479"/>
      <c r="H6" s="479"/>
      <c r="I6" s="479"/>
      <c r="J6" s="479"/>
      <c r="K6" s="479"/>
      <c r="L6" s="479"/>
      <c r="M6" s="479"/>
      <c r="N6" s="479"/>
      <c r="O6" s="479"/>
      <c r="P6" s="480"/>
      <c r="Q6" s="478">
        <f t="shared" si="0"/>
        <v>531.82899999999995</v>
      </c>
    </row>
    <row r="7" spans="1:17">
      <c r="A7" s="478" t="s">
        <v>112</v>
      </c>
      <c r="B7" s="479">
        <f>landbouw!B8</f>
        <v>1020.853</v>
      </c>
      <c r="C7" s="479">
        <f>landbouw!C8</f>
        <v>36.374999999999993</v>
      </c>
      <c r="D7" s="479">
        <f>landbouw!D8</f>
        <v>189.98555400000001</v>
      </c>
      <c r="E7" s="479">
        <f>landbouw!E8</f>
        <v>9.45556805853969</v>
      </c>
      <c r="F7" s="479">
        <f>landbouw!F8</f>
        <v>2590.0985332969285</v>
      </c>
      <c r="G7" s="479">
        <f>landbouw!G8</f>
        <v>0</v>
      </c>
      <c r="H7" s="479">
        <f>landbouw!H8</f>
        <v>0</v>
      </c>
      <c r="I7" s="479">
        <f>landbouw!I8</f>
        <v>0</v>
      </c>
      <c r="J7" s="479">
        <f>landbouw!J8</f>
        <v>156.50815765273083</v>
      </c>
      <c r="K7" s="479">
        <f>landbouw!K8</f>
        <v>0</v>
      </c>
      <c r="L7" s="479">
        <f>landbouw!L8</f>
        <v>0</v>
      </c>
      <c r="M7" s="479">
        <f>landbouw!M8</f>
        <v>0</v>
      </c>
      <c r="N7" s="479">
        <f>landbouw!N8</f>
        <v>0</v>
      </c>
      <c r="O7" s="479">
        <f>landbouw!O8</f>
        <v>0</v>
      </c>
      <c r="P7" s="480">
        <f>landbouw!P8</f>
        <v>0</v>
      </c>
      <c r="Q7" s="478">
        <f t="shared" si="0"/>
        <v>4003.2758130081993</v>
      </c>
    </row>
    <row r="8" spans="1:17">
      <c r="A8" s="478" t="s">
        <v>650</v>
      </c>
      <c r="B8" s="479">
        <f>industrie!B18</f>
        <v>1750.373</v>
      </c>
      <c r="C8" s="479">
        <f>industrie!C18</f>
        <v>0</v>
      </c>
      <c r="D8" s="479">
        <f>industrie!D18</f>
        <v>512.22144600000001</v>
      </c>
      <c r="E8" s="479">
        <f>industrie!E18</f>
        <v>205.34649431004425</v>
      </c>
      <c r="F8" s="479">
        <f>industrie!F18</f>
        <v>2121.8994978399915</v>
      </c>
      <c r="G8" s="479">
        <f>industrie!G18</f>
        <v>0</v>
      </c>
      <c r="H8" s="479">
        <f>industrie!H18</f>
        <v>0</v>
      </c>
      <c r="I8" s="479">
        <f>industrie!I18</f>
        <v>0</v>
      </c>
      <c r="J8" s="479">
        <f>industrie!J18</f>
        <v>19.258943417979417</v>
      </c>
      <c r="K8" s="479">
        <f>industrie!K18</f>
        <v>0</v>
      </c>
      <c r="L8" s="479">
        <f>industrie!L18</f>
        <v>0</v>
      </c>
      <c r="M8" s="479">
        <f>industrie!M18</f>
        <v>0</v>
      </c>
      <c r="N8" s="479">
        <f>industrie!N18</f>
        <v>685.47136788608168</v>
      </c>
      <c r="O8" s="479">
        <f>industrie!O18</f>
        <v>0</v>
      </c>
      <c r="P8" s="480">
        <f>industrie!P18</f>
        <v>0</v>
      </c>
      <c r="Q8" s="478">
        <f t="shared" si="0"/>
        <v>5294.5707494540966</v>
      </c>
    </row>
    <row r="9" spans="1:17" s="484" customFormat="1">
      <c r="A9" s="482" t="s">
        <v>571</v>
      </c>
      <c r="B9" s="483">
        <f>transport!B14</f>
        <v>9.9189898322315884</v>
      </c>
      <c r="C9" s="483">
        <f>transport!C14</f>
        <v>0</v>
      </c>
      <c r="D9" s="483">
        <f>transport!D14</f>
        <v>26.268376949822191</v>
      </c>
      <c r="E9" s="483">
        <f>transport!E14</f>
        <v>167.20325715612233</v>
      </c>
      <c r="F9" s="483">
        <f>transport!F14</f>
        <v>0</v>
      </c>
      <c r="G9" s="483">
        <f>transport!G14</f>
        <v>52812.592865125174</v>
      </c>
      <c r="H9" s="483">
        <f>transport!H14</f>
        <v>9925.9520032221535</v>
      </c>
      <c r="I9" s="483">
        <f>transport!I14</f>
        <v>0</v>
      </c>
      <c r="J9" s="483">
        <f>transport!J14</f>
        <v>0</v>
      </c>
      <c r="K9" s="483">
        <f>transport!K14</f>
        <v>0</v>
      </c>
      <c r="L9" s="483">
        <f>transport!L14</f>
        <v>0</v>
      </c>
      <c r="M9" s="483">
        <f>transport!M14</f>
        <v>3360.5256791610932</v>
      </c>
      <c r="N9" s="483">
        <f>transport!N14</f>
        <v>0</v>
      </c>
      <c r="O9" s="483">
        <f>transport!O14</f>
        <v>0</v>
      </c>
      <c r="P9" s="483">
        <f>transport!P14</f>
        <v>0</v>
      </c>
      <c r="Q9" s="482">
        <f>SUM(B9:P9)</f>
        <v>66302.461171446601</v>
      </c>
    </row>
    <row r="10" spans="1:17">
      <c r="A10" s="478" t="s">
        <v>561</v>
      </c>
      <c r="B10" s="479">
        <f>transport!B54</f>
        <v>0</v>
      </c>
      <c r="C10" s="479">
        <f>transport!C54</f>
        <v>0</v>
      </c>
      <c r="D10" s="479">
        <f>transport!D54</f>
        <v>0</v>
      </c>
      <c r="E10" s="479">
        <f>transport!E54</f>
        <v>0</v>
      </c>
      <c r="F10" s="479">
        <f>transport!F54</f>
        <v>0</v>
      </c>
      <c r="G10" s="479">
        <f>transport!G54</f>
        <v>2336.3132057237963</v>
      </c>
      <c r="H10" s="479">
        <f>transport!H54</f>
        <v>0</v>
      </c>
      <c r="I10" s="479">
        <f>transport!I54</f>
        <v>0</v>
      </c>
      <c r="J10" s="479">
        <f>transport!J54</f>
        <v>0</v>
      </c>
      <c r="K10" s="479">
        <f>transport!K54</f>
        <v>0</v>
      </c>
      <c r="L10" s="479">
        <f>transport!L54</f>
        <v>0</v>
      </c>
      <c r="M10" s="479">
        <f>transport!M54</f>
        <v>133.23313140151996</v>
      </c>
      <c r="N10" s="479">
        <f>transport!N54</f>
        <v>0</v>
      </c>
      <c r="O10" s="479">
        <f>transport!O54</f>
        <v>0</v>
      </c>
      <c r="P10" s="480">
        <f>transport!P54</f>
        <v>0</v>
      </c>
      <c r="Q10" s="478">
        <f t="shared" si="0"/>
        <v>2469.5463371253163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26573.072358864621</v>
      </c>
      <c r="C14" s="489">
        <f t="shared" ref="C14:Q14" ca="1" si="1">SUM(C4:C13)</f>
        <v>36.374999999999993</v>
      </c>
      <c r="D14" s="489">
        <f t="shared" ca="1" si="1"/>
        <v>24054.245888949823</v>
      </c>
      <c r="E14" s="489">
        <f t="shared" si="1"/>
        <v>2903.6986670530509</v>
      </c>
      <c r="F14" s="489">
        <f t="shared" ca="1" si="1"/>
        <v>45606.83002625066</v>
      </c>
      <c r="G14" s="489">
        <f t="shared" si="1"/>
        <v>55148.906070848971</v>
      </c>
      <c r="H14" s="489">
        <f t="shared" si="1"/>
        <v>9925.9520032221535</v>
      </c>
      <c r="I14" s="489">
        <f t="shared" si="1"/>
        <v>0</v>
      </c>
      <c r="J14" s="489">
        <f t="shared" si="1"/>
        <v>418.46924496174535</v>
      </c>
      <c r="K14" s="489">
        <f t="shared" si="1"/>
        <v>0</v>
      </c>
      <c r="L14" s="489">
        <f t="shared" ca="1" si="1"/>
        <v>0</v>
      </c>
      <c r="M14" s="489">
        <f t="shared" si="1"/>
        <v>3493.7588105626132</v>
      </c>
      <c r="N14" s="489">
        <f t="shared" ca="1" si="1"/>
        <v>8913.8767211768209</v>
      </c>
      <c r="O14" s="489">
        <f t="shared" si="1"/>
        <v>129.75666666666669</v>
      </c>
      <c r="P14" s="490">
        <f t="shared" si="1"/>
        <v>381.33333333333331</v>
      </c>
      <c r="Q14" s="490">
        <f t="shared" ca="1" si="1"/>
        <v>177586.27479189046</v>
      </c>
    </row>
    <row r="16" spans="1:17">
      <c r="A16" s="492" t="s">
        <v>566</v>
      </c>
      <c r="B16" s="842">
        <f ca="1">huishoudens!B10</f>
        <v>0.19932568852376106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3348.011324582164</v>
      </c>
      <c r="C21" s="479">
        <f t="shared" ref="C21:C30" ca="1" si="3">C4*$C$16</f>
        <v>0</v>
      </c>
      <c r="D21" s="479">
        <f t="shared" ref="D21:D30" si="4">D4*$D$16</f>
        <v>3661.6535758000005</v>
      </c>
      <c r="E21" s="479">
        <f t="shared" ref="E21:E30" si="5">E4*$E$16</f>
        <v>556.19454414787117</v>
      </c>
      <c r="F21" s="479">
        <f t="shared" ref="F21:F30" si="6">F4*$F$16</f>
        <v>10667.989898322212</v>
      </c>
      <c r="G21" s="479">
        <f t="shared" ref="G21:G30" si="7">G4*$G$16</f>
        <v>0</v>
      </c>
      <c r="H21" s="479">
        <f t="shared" ref="H21:H30" si="8">H4*$H$16</f>
        <v>0</v>
      </c>
      <c r="I21" s="479">
        <f t="shared" ref="I21:I30" si="9">I4*$I$16</f>
        <v>0</v>
      </c>
      <c r="J21" s="479">
        <f t="shared" ref="J21:J30" si="10">J4*$J$16</f>
        <v>85.916558937426402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18319.765901789677</v>
      </c>
    </row>
    <row r="22" spans="1:17">
      <c r="A22" s="478" t="s">
        <v>156</v>
      </c>
      <c r="B22" s="479">
        <f t="shared" ca="1" si="2"/>
        <v>1288.3237979556288</v>
      </c>
      <c r="C22" s="479">
        <f t="shared" ca="1" si="3"/>
        <v>0</v>
      </c>
      <c r="D22" s="479">
        <f t="shared" ca="1" si="4"/>
        <v>1050.152067624</v>
      </c>
      <c r="E22" s="479">
        <f t="shared" si="5"/>
        <v>16.22984574106323</v>
      </c>
      <c r="F22" s="479">
        <f t="shared" ca="1" si="6"/>
        <v>250.93024437315714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2605.6359556938492</v>
      </c>
    </row>
    <row r="23" spans="1:17">
      <c r="A23" s="478" t="s">
        <v>194</v>
      </c>
      <c r="B23" s="479">
        <f t="shared" ca="1" si="2"/>
        <v>106.00718160190331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106.00718160190331</v>
      </c>
    </row>
    <row r="24" spans="1:17">
      <c r="A24" s="478" t="s">
        <v>112</v>
      </c>
      <c r="B24" s="479">
        <f t="shared" ca="1" si="2"/>
        <v>203.48222710654704</v>
      </c>
      <c r="C24" s="479">
        <f t="shared" ca="1" si="3"/>
        <v>0</v>
      </c>
      <c r="D24" s="479">
        <f t="shared" si="4"/>
        <v>38.377081908000001</v>
      </c>
      <c r="E24" s="479">
        <f t="shared" si="5"/>
        <v>2.1464139492885095</v>
      </c>
      <c r="F24" s="479">
        <f t="shared" si="6"/>
        <v>691.55630839027992</v>
      </c>
      <c r="G24" s="479">
        <f t="shared" si="7"/>
        <v>0</v>
      </c>
      <c r="H24" s="479">
        <f t="shared" si="8"/>
        <v>0</v>
      </c>
      <c r="I24" s="479">
        <f t="shared" si="9"/>
        <v>0</v>
      </c>
      <c r="J24" s="479">
        <f t="shared" si="10"/>
        <v>55.40388780906671</v>
      </c>
      <c r="K24" s="479">
        <f t="shared" si="11"/>
        <v>0</v>
      </c>
      <c r="L24" s="479">
        <f t="shared" si="12"/>
        <v>0</v>
      </c>
      <c r="M24" s="479">
        <f t="shared" si="13"/>
        <v>0</v>
      </c>
      <c r="N24" s="479">
        <f t="shared" si="14"/>
        <v>0</v>
      </c>
      <c r="O24" s="479">
        <f t="shared" si="15"/>
        <v>0</v>
      </c>
      <c r="P24" s="480">
        <f t="shared" si="16"/>
        <v>0</v>
      </c>
      <c r="Q24" s="478">
        <f t="shared" ca="1" si="17"/>
        <v>990.96591916318221</v>
      </c>
    </row>
    <row r="25" spans="1:17">
      <c r="A25" s="478" t="s">
        <v>650</v>
      </c>
      <c r="B25" s="479">
        <f t="shared" ca="1" si="2"/>
        <v>348.89430339840123</v>
      </c>
      <c r="C25" s="479">
        <f t="shared" ca="1" si="3"/>
        <v>0</v>
      </c>
      <c r="D25" s="479">
        <f t="shared" si="4"/>
        <v>103.46873209200001</v>
      </c>
      <c r="E25" s="479">
        <f t="shared" si="5"/>
        <v>46.613654208380048</v>
      </c>
      <c r="F25" s="479">
        <f t="shared" si="6"/>
        <v>566.5471659232777</v>
      </c>
      <c r="G25" s="479">
        <f t="shared" si="7"/>
        <v>0</v>
      </c>
      <c r="H25" s="479">
        <f t="shared" si="8"/>
        <v>0</v>
      </c>
      <c r="I25" s="479">
        <f t="shared" si="9"/>
        <v>0</v>
      </c>
      <c r="J25" s="479">
        <f t="shared" si="10"/>
        <v>6.8176659699647129</v>
      </c>
      <c r="K25" s="479">
        <f t="shared" si="11"/>
        <v>0</v>
      </c>
      <c r="L25" s="479">
        <f t="shared" si="12"/>
        <v>0</v>
      </c>
      <c r="M25" s="479">
        <f t="shared" si="13"/>
        <v>0</v>
      </c>
      <c r="N25" s="479">
        <f t="shared" si="14"/>
        <v>0</v>
      </c>
      <c r="O25" s="479">
        <f t="shared" si="15"/>
        <v>0</v>
      </c>
      <c r="P25" s="480">
        <f t="shared" si="16"/>
        <v>0</v>
      </c>
      <c r="Q25" s="478">
        <f t="shared" ca="1" si="17"/>
        <v>1072.3415215920238</v>
      </c>
    </row>
    <row r="26" spans="1:17" s="484" customFormat="1">
      <c r="A26" s="482" t="s">
        <v>571</v>
      </c>
      <c r="B26" s="836">
        <f t="shared" ca="1" si="2"/>
        <v>1.9771094777697467</v>
      </c>
      <c r="C26" s="483">
        <f t="shared" ca="1" si="3"/>
        <v>0</v>
      </c>
      <c r="D26" s="483">
        <f t="shared" si="4"/>
        <v>5.3062121438640828</v>
      </c>
      <c r="E26" s="483">
        <f t="shared" si="5"/>
        <v>37.955139374439774</v>
      </c>
      <c r="F26" s="483">
        <f t="shared" si="6"/>
        <v>0</v>
      </c>
      <c r="G26" s="483">
        <f t="shared" si="7"/>
        <v>14100.962294988421</v>
      </c>
      <c r="H26" s="483">
        <f t="shared" si="8"/>
        <v>2471.5620488023164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16617.762804786813</v>
      </c>
    </row>
    <row r="27" spans="1:17">
      <c r="A27" s="478" t="s">
        <v>561</v>
      </c>
      <c r="B27" s="479">
        <f t="shared" ca="1" si="2"/>
        <v>0</v>
      </c>
      <c r="C27" s="479">
        <f t="shared" ca="1" si="3"/>
        <v>0</v>
      </c>
      <c r="D27" s="479">
        <f t="shared" si="4"/>
        <v>0</v>
      </c>
      <c r="E27" s="479">
        <f t="shared" si="5"/>
        <v>0</v>
      </c>
      <c r="F27" s="479">
        <f t="shared" si="6"/>
        <v>0</v>
      </c>
      <c r="G27" s="479">
        <f t="shared" si="7"/>
        <v>623.79562592825368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623.79562592825368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5296.6959441224144</v>
      </c>
      <c r="C31" s="489">
        <f t="shared" ca="1" si="18"/>
        <v>0</v>
      </c>
      <c r="D31" s="489">
        <f t="shared" ca="1" si="18"/>
        <v>4858.9576695678652</v>
      </c>
      <c r="E31" s="489">
        <f t="shared" si="18"/>
        <v>659.13959742104282</v>
      </c>
      <c r="F31" s="489">
        <f t="shared" ca="1" si="18"/>
        <v>12177.023617008927</v>
      </c>
      <c r="G31" s="489">
        <f t="shared" si="18"/>
        <v>14724.757920916676</v>
      </c>
      <c r="H31" s="489">
        <f t="shared" si="18"/>
        <v>2471.5620488023164</v>
      </c>
      <c r="I31" s="489">
        <f t="shared" si="18"/>
        <v>0</v>
      </c>
      <c r="J31" s="489">
        <f t="shared" si="18"/>
        <v>148.13811271645781</v>
      </c>
      <c r="K31" s="489">
        <f t="shared" si="18"/>
        <v>0</v>
      </c>
      <c r="L31" s="489">
        <f t="shared" ca="1" si="18"/>
        <v>0</v>
      </c>
      <c r="M31" s="489">
        <f t="shared" si="18"/>
        <v>0</v>
      </c>
      <c r="N31" s="489">
        <f t="shared" ca="1" si="18"/>
        <v>0</v>
      </c>
      <c r="O31" s="489">
        <f t="shared" si="18"/>
        <v>0</v>
      </c>
      <c r="P31" s="490">
        <f t="shared" si="18"/>
        <v>0</v>
      </c>
      <c r="Q31" s="490">
        <f t="shared" ca="1" si="18"/>
        <v>40336.274910555701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0.19932568852376106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0.19932568852376106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0.19932568852376106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2018-06-27T09:35:21Z</dcterms:modified>
</cp:coreProperties>
</file>