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6"/>
  <c r="G14"/>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F8" i="17" l="1"/>
  <c r="G22" i="14" s="1"/>
  <c r="B8" i="9"/>
  <c r="B6" i="48" s="1"/>
  <c r="Q6" s="1"/>
  <c r="D8" i="17"/>
  <c r="J15" i="16"/>
  <c r="L16"/>
  <c r="L18" s="1"/>
  <c r="L8" i="48" s="1"/>
  <c r="F16" i="16"/>
  <c r="D13" i="15"/>
  <c r="C13"/>
  <c r="C16" s="1"/>
  <c r="L6" i="17"/>
  <c r="L5" s="1"/>
  <c r="B13" i="16"/>
  <c r="C35"/>
  <c r="E9" i="14"/>
  <c r="D14" i="15"/>
  <c r="P18" i="16"/>
  <c r="P22" s="1"/>
  <c r="Q39" i="14" s="1"/>
  <c r="N6" i="17"/>
  <c r="N5" s="1"/>
  <c r="I14" i="15"/>
  <c r="I16" s="1"/>
  <c r="J10" i="14" s="1"/>
  <c r="D16" i="15"/>
  <c r="J8" i="17"/>
  <c r="K22" i="14" s="1"/>
  <c r="N16" i="16"/>
  <c r="N13" i="15"/>
  <c r="L13"/>
  <c r="L16" s="1"/>
  <c r="F13"/>
  <c r="B67" i="22"/>
  <c r="M11"/>
  <c r="G10"/>
  <c r="M9"/>
  <c r="G8"/>
  <c r="M7"/>
  <c r="G6"/>
  <c r="G11"/>
  <c r="M8"/>
  <c r="G7"/>
  <c r="M10"/>
  <c r="G9"/>
  <c r="M6"/>
  <c r="L68" i="14"/>
  <c r="L69" s="1"/>
  <c r="B12" i="48"/>
  <c r="Q12" s="1"/>
  <c r="O9" i="14"/>
  <c r="B7" i="15"/>
  <c r="O5" i="16"/>
  <c r="B38" i="13"/>
  <c r="B50" s="1"/>
  <c r="B11" i="15"/>
  <c r="B11" i="16"/>
  <c r="J9" i="14"/>
  <c r="B97" i="18"/>
  <c r="B101" s="1"/>
  <c r="C16" s="1"/>
  <c r="D78" i="14" s="1"/>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G19" i="18"/>
  <c r="K19"/>
  <c r="G9" i="14"/>
  <c r="M4" i="48"/>
  <c r="F11"/>
  <c r="F28" s="1"/>
  <c r="K19" i="19"/>
  <c r="L35" i="14" s="1"/>
  <c r="I19" i="19"/>
  <c r="J35" i="14" s="1"/>
  <c r="E31" i="20"/>
  <c r="F43" i="14"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D10" i="14"/>
  <c r="M17" i="18"/>
  <c r="M18"/>
  <c r="J12" i="17" l="1"/>
  <c r="K48" i="14" s="1"/>
  <c r="J7" i="48"/>
  <c r="J24" s="1"/>
  <c r="B34" i="13"/>
  <c r="L22" i="16"/>
  <c r="M39" i="14" s="1"/>
  <c r="M13"/>
  <c r="Q13"/>
  <c r="J15"/>
  <c r="N8" i="17"/>
  <c r="O22" i="14" s="1"/>
  <c r="B35" i="13"/>
  <c r="B47" s="1"/>
  <c r="O22" i="16"/>
  <c r="P39" i="14" s="1"/>
  <c r="O18" i="16"/>
  <c r="P13" i="14" s="1"/>
  <c r="B36" i="13"/>
  <c r="G31" i="20"/>
  <c r="H43" i="14" s="1"/>
  <c r="G12" i="22"/>
  <c r="D18" i="16"/>
  <c r="D22" s="1"/>
  <c r="E39" i="14" s="1"/>
  <c r="E8" i="17"/>
  <c r="F22" i="14" s="1"/>
  <c r="H13" i="48"/>
  <c r="H30" s="1"/>
  <c r="H12" i="22"/>
  <c r="N16" i="15"/>
  <c r="L8" i="17"/>
  <c r="L12" s="1"/>
  <c r="M48" i="14" s="1"/>
  <c r="M50" i="22"/>
  <c r="M54" s="1"/>
  <c r="M10" i="48" s="1"/>
  <c r="M27" s="1"/>
  <c r="G51" i="22"/>
  <c r="G50" s="1"/>
  <c r="G54" s="1"/>
  <c r="H18" i="14" s="1"/>
  <c r="E22"/>
  <c r="O8" i="48"/>
  <c r="O25" s="1"/>
  <c r="B9"/>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D20" i="15"/>
  <c r="B81" i="14"/>
  <c r="O68"/>
  <c r="C68"/>
  <c r="L29" i="48"/>
  <c r="B19" i="18"/>
  <c r="C7" i="48"/>
  <c r="D22" i="14"/>
  <c r="L28" i="48"/>
  <c r="C19" i="18"/>
  <c r="M31" i="20"/>
  <c r="N43" i="14" s="1"/>
  <c r="N17"/>
  <c r="M13" i="48"/>
  <c r="M30" s="1"/>
  <c r="H31" i="20"/>
  <c r="I43" i="14" s="1"/>
  <c r="G13" i="48"/>
  <c r="G30" s="1"/>
  <c r="H17" i="14"/>
  <c r="M5" i="22"/>
  <c r="M14" s="1"/>
  <c r="G5"/>
  <c r="H5"/>
  <c r="I14" i="48"/>
  <c r="E5" i="15"/>
  <c r="O20"/>
  <c r="P36" i="14" s="1"/>
  <c r="P10"/>
  <c r="P20" i="15"/>
  <c r="Q36" i="14" s="1"/>
  <c r="Q41" s="1"/>
  <c r="Q53" s="1"/>
  <c r="Q10"/>
  <c r="Q15" s="1"/>
  <c r="Q23" s="1"/>
  <c r="J5" i="15"/>
  <c r="F4" i="48"/>
  <c r="F21" s="1"/>
  <c r="B69" i="14"/>
  <c r="B4" i="6" s="1"/>
  <c r="J23" i="14"/>
  <c r="F5" i="15"/>
  <c r="F16" s="1"/>
  <c r="B5"/>
  <c r="B16" s="1"/>
  <c r="E13" i="14"/>
  <c r="B5" i="16"/>
  <c r="B18" s="1"/>
  <c r="C13" i="14" s="1"/>
  <c r="N5" i="15"/>
  <c r="F12" i="13"/>
  <c r="G37" i="14" s="1"/>
  <c r="P5" i="48"/>
  <c r="P22" s="1"/>
  <c r="P31" s="1"/>
  <c r="F13" i="16"/>
  <c r="E13"/>
  <c r="N13"/>
  <c r="J13"/>
  <c r="N12"/>
  <c r="J12"/>
  <c r="F12"/>
  <c r="E12"/>
  <c r="Q11" i="48"/>
  <c r="O5"/>
  <c r="R9" i="14"/>
  <c r="O28" i="48"/>
  <c r="H22"/>
  <c r="B46" i="13"/>
  <c r="E5" s="1"/>
  <c r="E8" s="1"/>
  <c r="E12" s="1"/>
  <c r="F37" i="14" s="1"/>
  <c r="K31" i="48"/>
  <c r="L26"/>
  <c r="B48" i="13"/>
  <c r="C48" s="1"/>
  <c r="N5" s="1"/>
  <c r="N8" s="1"/>
  <c r="N4" i="48" s="1"/>
  <c r="N21" s="1"/>
  <c r="M29"/>
  <c r="M25"/>
  <c r="M24"/>
  <c r="I31"/>
  <c r="C50" i="13"/>
  <c r="J5" s="1"/>
  <c r="J8" s="1"/>
  <c r="C5" i="48"/>
  <c r="E7" l="1"/>
  <c r="E24" s="1"/>
  <c r="E12" i="17"/>
  <c r="F48" i="14" s="1"/>
  <c r="P41"/>
  <c r="P53" s="1"/>
  <c r="P55" s="1"/>
  <c r="G14" i="22"/>
  <c r="G9" i="48" s="1"/>
  <c r="D8"/>
  <c r="D25" s="1"/>
  <c r="J16" i="15"/>
  <c r="J5" i="48" s="1"/>
  <c r="J22" s="1"/>
  <c r="E20" i="15"/>
  <c r="F36" i="14" s="1"/>
  <c r="E16" i="15"/>
  <c r="H14" i="22"/>
  <c r="I19" i="14" s="1"/>
  <c r="I20" s="1"/>
  <c r="I23" s="1"/>
  <c r="N12" i="17"/>
  <c r="O48" i="14" s="1"/>
  <c r="L7" i="48"/>
  <c r="L24" s="1"/>
  <c r="M22" i="14"/>
  <c r="R22" s="1"/>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D31" s="1"/>
  <c r="J67" i="14"/>
  <c r="I9" i="18"/>
  <c r="G58" i="22"/>
  <c r="H44" i="14" s="1"/>
  <c r="G10" i="48"/>
  <c r="R17" i="14"/>
  <c r="Q13" i="48"/>
  <c r="M18" i="22"/>
  <c r="N45" i="14" s="1"/>
  <c r="M9" i="48"/>
  <c r="N19" i="14"/>
  <c r="N20" s="1"/>
  <c r="N23" s="1"/>
  <c r="E5" i="48"/>
  <c r="E22" s="1"/>
  <c r="P14"/>
  <c r="F10" i="14"/>
  <c r="B8" i="48"/>
  <c r="J55" i="14"/>
  <c r="L55"/>
  <c r="E36"/>
  <c r="E41" s="1"/>
  <c r="N20" i="15"/>
  <c r="O36" i="14" s="1"/>
  <c r="O10"/>
  <c r="L5" i="48"/>
  <c r="L22" s="1"/>
  <c r="M10" i="14"/>
  <c r="M15" s="1"/>
  <c r="F20" i="15"/>
  <c r="G36" i="14" s="1"/>
  <c r="G10"/>
  <c r="C10"/>
  <c r="B5" i="48"/>
  <c r="D23" i="14"/>
  <c r="B20" i="6" s="1"/>
  <c r="Q55" i="14"/>
  <c r="N5" i="16"/>
  <c r="F5" i="48"/>
  <c r="F22" s="1"/>
  <c r="E5" i="16"/>
  <c r="J5"/>
  <c r="C35" i="13"/>
  <c r="F5" i="16"/>
  <c r="C36" i="13"/>
  <c r="O22" i="48"/>
  <c r="O31" s="1"/>
  <c r="N12" i="13"/>
  <c r="O37" i="14" s="1"/>
  <c r="O11"/>
  <c r="C38" i="13"/>
  <c r="C39"/>
  <c r="C32"/>
  <c r="C34"/>
  <c r="E4" i="48"/>
  <c r="E21" s="1"/>
  <c r="F11" i="14"/>
  <c r="J4" i="48"/>
  <c r="J12" i="13"/>
  <c r="K37" i="14" s="1"/>
  <c r="K11"/>
  <c r="N5" i="48"/>
  <c r="L20" i="15"/>
  <c r="B22" i="6" l="1"/>
  <c r="C10" i="13" s="1"/>
  <c r="C16" i="48" s="1"/>
  <c r="C30" s="1"/>
  <c r="F18" i="16"/>
  <c r="G13" i="14" s="1"/>
  <c r="G15" s="1"/>
  <c r="G23" s="1"/>
  <c r="M16" i="18"/>
  <c r="M19" s="1"/>
  <c r="K10" i="14"/>
  <c r="R10" s="1"/>
  <c r="J18" i="16"/>
  <c r="J22" s="1"/>
  <c r="K39" i="14" s="1"/>
  <c r="Q7" i="48"/>
  <c r="E8"/>
  <c r="E25" s="1"/>
  <c r="E31" s="1"/>
  <c r="E18" i="16"/>
  <c r="J20" i="15"/>
  <c r="K36" i="14" s="1"/>
  <c r="J9" i="18"/>
  <c r="M7"/>
  <c r="M9" s="1"/>
  <c r="N8" i="48"/>
  <c r="N25" s="1"/>
  <c r="N18" i="16"/>
  <c r="L31" i="48"/>
  <c r="N46" i="14"/>
  <c r="N53" s="1"/>
  <c r="N55" s="1"/>
  <c r="G18" i="22"/>
  <c r="H45" i="14" s="1"/>
  <c r="H46" s="1"/>
  <c r="H53" s="1"/>
  <c r="I19" i="18"/>
  <c r="J19"/>
  <c r="K78" i="14"/>
  <c r="K81" s="1"/>
  <c r="I81"/>
  <c r="O78"/>
  <c r="O81" s="1"/>
  <c r="B17" i="6" s="1"/>
  <c r="E23" i="14"/>
  <c r="D14" i="48"/>
  <c r="K13" i="14"/>
  <c r="B14" i="48"/>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8" i="15"/>
  <c r="C20" s="1"/>
  <c r="D36" i="14" s="1"/>
  <c r="Q5" i="48"/>
  <c r="O13" i="14"/>
  <c r="O15" s="1"/>
  <c r="F22" i="16"/>
  <c r="G39" i="14" s="1"/>
  <c r="G41" s="1"/>
  <c r="N22" i="16"/>
  <c r="O39" i="14" s="1"/>
  <c r="O41" s="1"/>
  <c r="E14" i="48"/>
  <c r="Q4"/>
  <c r="N22"/>
  <c r="R11" i="14"/>
  <c r="J21" i="48"/>
  <c r="C17" i="49" l="1"/>
  <c r="K41" i="14"/>
  <c r="K53" s="1"/>
  <c r="K55" s="1"/>
  <c r="C20" i="16"/>
  <c r="C22" s="1"/>
  <c r="D39" i="14" s="1"/>
  <c r="F8" i="48"/>
  <c r="C17" i="19"/>
  <c r="C19" s="1"/>
  <c r="D35" i="14" s="1"/>
  <c r="C29" i="20"/>
  <c r="N31" i="48"/>
  <c r="C56" i="22"/>
  <c r="C58" s="1"/>
  <c r="D44" i="14" s="1"/>
  <c r="D46" s="1"/>
  <c r="C10" i="17"/>
  <c r="C12" s="1"/>
  <c r="D48" i="14" s="1"/>
  <c r="N14" i="48"/>
  <c r="C16" i="22"/>
  <c r="K15" i="14"/>
  <c r="K23" s="1"/>
  <c r="H55"/>
  <c r="E55"/>
  <c r="C78"/>
  <c r="C81" s="1"/>
  <c r="J14" i="48"/>
  <c r="J31"/>
  <c r="Q8"/>
  <c r="Q14" s="1"/>
  <c r="R19" i="14"/>
  <c r="R20" s="1"/>
  <c r="H14" i="48"/>
  <c r="G31"/>
  <c r="H26"/>
  <c r="H31" s="1"/>
  <c r="F55" i="14"/>
  <c r="O53"/>
  <c r="G53"/>
  <c r="G55" s="1"/>
  <c r="O69" s="1"/>
  <c r="B9" i="6" s="1"/>
  <c r="B12" s="1"/>
  <c r="M53" i="14"/>
  <c r="M55" s="1"/>
  <c r="C12" i="13"/>
  <c r="D37" i="14" s="1"/>
  <c r="D41" s="1"/>
  <c r="C23" i="48"/>
  <c r="C24"/>
  <c r="C27"/>
  <c r="C28"/>
  <c r="C22"/>
  <c r="C25"/>
  <c r="C29"/>
  <c r="C21"/>
  <c r="C26"/>
  <c r="R13" i="14"/>
  <c r="R15" s="1"/>
  <c r="F25" i="48"/>
  <c r="F31" s="1"/>
  <c r="F14"/>
  <c r="R23" i="14" l="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<sst xmlns="http://schemas.openxmlformats.org/spreadsheetml/2006/main" count="1968" uniqueCount="844">
  <si>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</si>
  <si>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</si>
  <si>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</si>
  <si>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</si>
  <si>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</si>
  <si>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</si>
  <si>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</si>
  <si>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</si>
  <si>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</si>
  <si>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</si>
  <si>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</si>
  <si>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</si>
  <si>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</si>
  <si>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</si>
  <si>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</si>
  <si>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</si>
  <si>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</si>
  <si>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</si>
  <si>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</si>
  <si>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</si>
  <si>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</si>
  <si>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</si>
  <si>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</si>
  <si>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</si>
  <si>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</si>
  <si>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</si>
  <si>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</si>
  <si>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</si>
  <si>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</si>
  <si>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</si>
  <si>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</si>
  <si>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</si>
  <si>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</si>
  <si>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</si>
  <si>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</si>
  <si>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</si>
  <si>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</si>
  <si>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</si>
  <si>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</si>
  <si>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</si>
  <si>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</si>
  <si>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</si>
  <si>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</si>
  <si>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</si>
  <si>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</si>
  <si>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</si>
  <si>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</si>
  <si>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</si>
  <si>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</si>
  <si>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</si>
  <si>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</si>
  <si>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</si>
  <si>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</si>
  <si>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</si>
  <si>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</si>
  <si>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</si>
  <si>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</si>
  <si>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</si>
  <si>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</si>
  <si>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</si>
  <si>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</si>
  <si>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</si>
  <si>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</si>
  <si>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</si>
  <si>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</si>
  <si>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</si>
  <si>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</si>
  <si>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</si>
  <si>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</si>
  <si>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</si>
  <si>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</si>
  <si>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</si>
  <si>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</si>
  <si>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</si>
  <si>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</si>
  <si>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</si>
  <si>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</si>
  <si>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</si>
  <si>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</si>
  <si>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</si>
  <si>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</si>
  <si>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</si>
  <si>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</si>
  <si>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</si>
  <si>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</si>
  <si>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</si>
  <si>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</si>
  <si>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</si>
  <si>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</si>
  <si>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</si>
  <si>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</si>
  <si>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</si>
  <si>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</si>
  <si>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</si>
  <si>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</si>
  <si>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</si>
  <si>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</si>
  <si>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</si>
  <si>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</si>
  <si>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</si>
  <si>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</si>
  <si>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</si>
  <si>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</si>
  <si>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</si>
  <si>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</si>
  <si>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</si>
  <si>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</si>
  <si>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</si>
  <si>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</si>
  <si>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</si>
  <si>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</si>
  <si>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</si>
  <si>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</si>
  <si>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</si>
  <si>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</si>
  <si>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</si>
  <si>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</si>
  <si>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</si>
  <si>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</si>
  <si>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</si>
  <si>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</si>
  <si>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</si>
  <si>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</si>
  <si>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</si>
  <si>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</si>
  <si>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</si>
  <si>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</si>
  <si>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</si>
  <si>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</si>
  <si>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</si>
  <si>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</si>
  <si>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</si>
  <si>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</si>
  <si>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</si>
  <si>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</si>
  <si>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</si>
  <si>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</si>
  <si>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</si>
  <si>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</si>
  <si>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</si>
  <si>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</si>
  <si>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</si>
  <si>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</si>
  <si>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</si>
  <si>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</si>
  <si>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</si>
  <si>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</si>
  <si>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</si>
  <si>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</si>
  <si>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</si>
  <si>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</si>
  <si>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</si>
  <si>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</si>
  <si>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</si>
  <si>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</si>
  <si>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</si>
  <si>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</si>
  <si>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</si>
  <si>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</si>
  <si>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</si>
  <si>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</si>
  <si>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</si>
  <si>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</si>
  <si>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</si>
  <si>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</si>
  <si>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</si>
  <si>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</si>
  <si>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</si>
  <si>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</si>
  <si>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</si>
  <si>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</si>
  <si>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</si>
  <si>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</si>
  <si>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</si>
  <si>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</si>
  <si>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</si>
  <si>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</si>
  <si>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</si>
  <si>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</si>
  <si>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</si>
  <si>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</si>
  <si>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</si>
  <si>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</si>
  <si>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</si>
  <si>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</si>
  <si>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</si>
  <si>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</si>
  <si>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</si>
  <si>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</si>
  <si>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</si>
  <si>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</si>
  <si>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</si>
  <si>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</si>
  <si>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</si>
  <si>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</si>
  <si>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</si>
  <si>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</si>
  <si>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</si>
  <si>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</si>
  <si>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</si>
  <si>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</si>
  <si>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</si>
  <si>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</si>
  <si>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</si>
  <si>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</si>
  <si>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</si>
  <si>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</si>
  <si>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</si>
  <si>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</si>
  <si>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</si>
  <si>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</si>
  <si>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</si>
  <si>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</si>
  <si>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</si>
  <si>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</si>
  <si>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</si>
  <si>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</si>
  <si>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</si>
  <si>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</si>
  <si>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</si>
  <si>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</si>
  <si>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</si>
  <si>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</si>
  <si>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</si>
  <si>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</si>
  <si>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</si>
  <si>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</si>
  <si>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</si>
  <si>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</si>
  <si>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</si>
  <si>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</si>
  <si>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</si>
  <si>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</si>
  <si>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</si>
  <si>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</si>
  <si>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</si>
  <si>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</si>
  <si>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</si>
  <si>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</si>
  <si>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</si>
  <si>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</si>
  <si>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</si>
  <si>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</si>
  <si>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</si>
  <si>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</si>
  <si>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</si>
  <si>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</si>
  <si>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</si>
  <si>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</si>
  <si>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</si>
  <si>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</si>
  <si>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</si>
  <si>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</si>
  <si>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</si>
  <si>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</si>
  <si>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</si>
  <si>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</si>
  <si>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</si>
  <si>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</si>
  <si>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</si>
  <si>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</si>
  <si>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</si>
  <si>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</si>
  <si>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</si>
  <si>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</si>
  <si>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</si>
  <si>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</si>
  <si>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</si>
  <si>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</si>
  <si>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</si>
  <si>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</si>
  <si>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</si>
  <si>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</si>
  <si>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</si>
  <si>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</si>
  <si>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</si>
  <si>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</si>
  <si>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</si>
  <si>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</si>
  <si>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</si>
  <si>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</si>
  <si>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</si>
  <si>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</si>
  <si>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</si>
  <si>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</si>
  <si>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</si>
  <si>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</si>
  <si>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</si>
  <si>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</si>
  <si>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</si>
  <si>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</si>
  <si>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</si>
  <si>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</si>
  <si>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</si>
  <si>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</si>
  <si>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</si>
  <si>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</si>
  <si>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</si>
  <si>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</si>
  <si>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</si>
  <si>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</si>
  <si>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</si>
  <si>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</si>
  <si>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</si>
  <si>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</si>
  <si>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</si>
  <si>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</si>
  <si>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</si>
  <si>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</si>
  <si>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</si>
  <si>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</si>
  <si>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</si>
  <si>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</si>
  <si>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</si>
  <si>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</si>
  <si>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</si>
  <si>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</si>
  <si>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</si>
  <si>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</si>
  <si>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</si>
  <si>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</si>
  <si>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</si>
  <si>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</si>
  <si>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</si>
  <si>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</si>
  <si>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</si>
  <si>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</si>
  <si>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</si>
  <si>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</si>
  <si>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</si>
  <si>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</si>
  <si>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</si>
  <si>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</si>
  <si>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</si>
  <si>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</si>
  <si>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</si>
  <si>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</si>
  <si>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</si>
  <si>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</si>
  <si>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</si>
  <si>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</si>
  <si>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</si>
  <si>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</si>
  <si>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</si>
  <si>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</si>
  <si>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</si>
  <si>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</si>
  <si>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</si>
  <si>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</si>
  <si>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</si>
  <si>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</si>
  <si>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</si>
  <si>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</si>
  <si>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</si>
  <si>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</si>
  <si>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</si>
  <si>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</si>
  <si>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</si>
  <si>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</si>
  <si>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</si>
  <si>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</si>
  <si>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</si>
  <si>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</si>
  <si>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</si>
  <si>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</si>
  <si>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</si>
  <si>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</si>
  <si>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</si>
  <si>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</si>
  <si>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</si>
  <si>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</si>
  <si>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</si>
  <si>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</si>
  <si>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</si>
  <si>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</si>
  <si>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</si>
  <si>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</si>
  <si>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</si>
  <si>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</si>
  <si>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</si>
  <si>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</si>
  <si>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</si>
  <si>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</si>
  <si>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</si>
  <si>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</si>
  <si>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</si>
  <si>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</si>
  <si>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</si>
  <si>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</si>
  <si>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</si>
  <si>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</si>
  <si>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</si>
  <si>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</si>
  <si>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</si>
  <si>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</si>
  <si>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</si>
  <si>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</si>
  <si>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</si>
  <si>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</si>
  <si>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</si>
  <si>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</si>
  <si>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</si>
  <si>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</si>
  <si>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</si>
  <si>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</si>
  <si>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</si>
  <si>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</si>
  <si>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</si>
  <si>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</si>
  <si>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</si>
  <si>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</si>
  <si>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</si>
  <si>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</si>
  <si>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</si>
  <si>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</si>
  <si>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</si>
  <si>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</si>
  <si>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</si>
  <si>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</si>
  <si>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</si>
  <si>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</si>
  <si>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</si>
  <si>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</si>
  <si>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</si>
  <si>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</si>
  <si>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</si>
  <si>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</si>
  <si>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</si>
  <si>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</si>
  <si>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</si>
  <si>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</si>
  <si>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</si>
  <si>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</si>
  <si>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</si>
  <si>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</si>
  <si>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</si>
  <si>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</si>
  <si>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</si>
  <si>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</si>
  <si>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</si>
  <si>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</si>
  <si>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</si>
  <si>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</si>
  <si>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</si>
  <si>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</si>
  <si>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</si>
  <si>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</si>
  <si>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</si>
  <si>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</si>
  <si>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</si>
  <si>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</si>
  <si>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</si>
  <si>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</si>
  <si>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</si>
  <si>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</si>
  <si>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</si>
  <si>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</si>
  <si>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</si>
  <si>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</si>
  <si>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</si>
  <si>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</si>
  <si>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</si>
  <si>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</si>
  <si>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</si>
  <si>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</si>
  <si>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</si>
  <si>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</si>
  <si>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</si>
  <si>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</si>
  <si>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</si>
  <si>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</si>
  <si>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</si>
  <si>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</si>
  <si>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</si>
  <si>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</si>
  <si>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</si>
  <si>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</si>
  <si>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</si>
  <si>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</si>
  <si>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</si>
  <si>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</si>
  <si>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</si>
  <si>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</si>
  <si>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</si>
  <si>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</si>
  <si>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</si>
  <si>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</si>
  <si>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</si>
  <si>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</si>
  <si>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</si>
  <si>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</si>
  <si>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</si>
  <si>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</si>
  <si>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</si>
  <si>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</si>
  <si>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</si>
  <si>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</si>
  <si>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</si>
  <si>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</si>
  <si>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</si>
  <si>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</si>
  <si>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</si>
  <si>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</si>
  <si>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</si>
  <si>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</si>
  <si>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</si>
  <si>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</si>
  <si>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</si>
  <si>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</si>
  <si>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</si>
  <si>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</si>
  <si>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</si>
  <si>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</si>
  <si>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</si>
  <si>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</si>
  <si>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</si>
  <si>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</si>
  <si>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</si>
  <si>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</si>
  <si>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</si>
  <si>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</si>
  <si>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</si>
  <si>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</si>
  <si>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</si>
  <si>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</si>
  <si>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</si>
  <si>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</si>
  <si>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</si>
  <si>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</si>
  <si>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</si>
  <si>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</si>
  <si>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</si>
  <si>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</si>
  <si>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</si>
  <si>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</si>
  <si>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</si>
  <si>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</si>
  <si>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</si>
  <si>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</si>
  <si>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</si>
  <si>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</si>
  <si>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</si>
  <si>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</si>
  <si>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</si>
  <si>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</si>
  <si>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</si>
  <si>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</si>
  <si>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</si>
  <si>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</si>
  <si>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</si>
  <si>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</si>
  <si>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</si>
  <si>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</si>
  <si>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</si>
  <si>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</si>
  <si>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</si>
  <si>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</si>
  <si>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</si>
  <si>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</si>
  <si>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</si>
  <si>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</si>
  <si>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</si>
  <si>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</si>
  <si>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</si>
  <si>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</si>
  <si>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</si>
  <si>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</si>
  <si>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</si>
  <si>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</si>
  <si>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</si>
  <si>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</si>
  <si>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</si>
  <si>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</si>
  <si>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</si>
  <si>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</si>
  <si>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</si>
  <si>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</si>
  <si>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</si>
  <si>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</si>
  <si>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</si>
  <si>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</si>
  <si>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</si>
  <si>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</si>
  <si>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</si>
  <si>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</si>
  <si>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</si>
  <si>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</si>
  <si>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</si>
  <si>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</si>
  <si>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</si>
  <si>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</si>
  <si>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</si>
  <si>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</si>
  <si>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</si>
  <si>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</si>
  <si>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</si>
  <si>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</si>
  <si>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</si>
  <si>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</si>
  <si>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</si>
  <si>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</si>
  <si>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</si>
  <si>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</si>
  <si>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</si>
  <si>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</si>
  <si>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</si>
  <si>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</si>
  <si>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</si>
  <si>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</si>
  <si>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</si>
  <si>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</si>
  <si>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</si>
  <si>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</si>
  <si>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</si>
  <si>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</si>
  <si>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</si>
  <si>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</si>
  <si>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</si>
  <si>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</si>
  <si>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</si>
  <si>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</si>
  <si>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</si>
  <si>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</si>
  <si>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</si>
  <si>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</si>
  <si>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</si>
  <si>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</si>
  <si>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</si>
  <si>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</si>
  <si>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</si>
  <si>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</si>
  <si>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</si>
  <si>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</si>
  <si>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</si>
  <si>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</si>
  <si>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</si>
  <si>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</si>
  <si>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</si>
  <si>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</si>
  <si>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</si>
  <si>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</si>
  <si>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</si>
  <si>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</si>
  <si>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</si>
  <si>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</si>
  <si>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</si>
  <si>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</si>
  <si>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</si>
  <si>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</si>
  <si>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</si>
  <si>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</si>
  <si>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</si>
  <si>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</si>
  <si>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</si>
  <si>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</si>
  <si>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</si>
  <si>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</si>
  <si>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</si>
  <si>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</si>
  <si>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</si>
  <si>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</si>
  <si>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</si>
  <si>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</si>
  <si>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</si>
  <si>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</si>
  <si>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</si>
  <si>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</si>
  <si>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</si>
  <si>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</si>
  <si>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</si>
  <si>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</si>
  <si>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</si>
  <si>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</si>
  <si>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</si>
  <si>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</si>
  <si>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</si>
  <si>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</si>
  <si>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</si>
  <si>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</si>
  <si>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</si>
  <si>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</si>
  <si>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</si>
  <si>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</si>
  <si>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</si>
  <si>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</si>
  <si>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</si>
  <si>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</si>
  <si>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</si>
  <si>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</si>
  <si>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</si>
  <si>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</si>
  <si>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</si>
  <si>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</si>
  <si>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</si>
  <si>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</si>
  <si>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</si>
  <si>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</si>
  <si>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</si>
  <si>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</si>
  <si>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</si>
  <si>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</si>
  <si>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</si>
  <si>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</si>
  <si>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</si>
  <si>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</si>
  <si>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</si>
  <si>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</si>
  <si>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</si>
  <si>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</si>
  <si>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</si>
  <si>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</si>
  <si>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</si>
  <si>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</si>
  <si>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</si>
  <si>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</si>
  <si>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</si>
  <si>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</si>
  <si>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</si>
  <si>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</si>
  <si>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</si>
  <si>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</si>
  <si>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</si>
  <si>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</si>
  <si>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</si>
  <si>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</si>
  <si>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</si>
  <si>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</si>
  <si>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</si>
  <si>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</si>
  <si>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</si>
  <si>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</si>
  <si>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</si>
  <si>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</si>
  <si>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</si>
  <si>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</si>
  <si>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</si>
  <si>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</si>
  <si>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</si>
  <si>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</si>
  <si>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</si>
  <si>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</si>
  <si>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</si>
  <si>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</si>
  <si>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</si>
  <si>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</si>
  <si>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</si>
  <si>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</si>
  <si>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</si>
  <si>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</si>
  <si>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</si>
  <si>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</si>
  <si>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</si>
  <si>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</si>
  <si>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</si>
  <si>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</si>
  <si>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</si>
  <si>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</si>
  <si>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</si>
  <si>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</si>
  <si>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</si>
  <si>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</si>
  <si>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</si>
  <si>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</si>
  <si>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</si>
  <si>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</si>
  <si>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</si>
  <si>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</si>
  <si>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</si>
  <si>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</si>
  <si>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</si>
  <si>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</si>
  <si>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</si>
  <si>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</si>
  <si>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</si>
  <si>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</si>
  <si>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</si>
  <si>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</si>
  <si>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</si>
  <si>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</si>
  <si>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</si>
  <si>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</si>
  <si>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</si>
  <si>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</si>
  <si>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</si>
  <si>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</si>
  <si>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</si>
  <si>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</si>
  <si>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</si>
  <si>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</si>
  <si>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versie: 2014_04</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</si>
  <si>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</si>
  <si>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</si>
  <si>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</si>
  <si>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</si>
  <si>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</si>
  <si>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</si>
  <si>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</si>
  <si>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</si>
  <si>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</si>
  <si>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</si>
  <si>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</si>
  <si>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</si>
  <si>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</si>
  <si>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</si>
  <si>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</si>
  <si>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</si>
  <si>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</si>
  <si>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</si>
  <si>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</si>
  <si>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</si>
  <si>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</si>
  <si>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</si>
  <si>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</si>
  <si>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</si>
  <si>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</si>
  <si>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</si>
  <si>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</si>
  <si>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</si>
  <si>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</si>
  <si>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</si>
  <si>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</si>
  <si>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</si>
  <si>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</si>
  <si>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</si>
  <si>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</si>
  <si>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</si>
  <si>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13012</t>
  </si>
  <si>
    <t>HERENTHOUT</t>
  </si>
  <si>
    <t>Paarden&amp;pony's 200 - 600 kg</t>
  </si>
  <si>
    <t>Paarden&amp;pony's &lt; 200 kg</t>
  </si>
  <si>
    <t>referentietaak LNE (2017); Jaarverslag De Lijn (2014)</t>
  </si>
  <si>
    <t>op basis van VEA (maart 2018) en Inventaris Hernieuwbare Energiebronnen (juni 2018)</t>
  </si>
  <si>
    <t>VEA (maart 2016)</t>
  </si>
  <si>
    <t>VEA (juni 2018)</t>
  </si>
  <si>
    <t>Zonnige Kempen</t>
  </si>
  <si>
    <t>Grote Markt 39, 2260 Westerlo</t>
  </si>
  <si>
    <t>WKK-0079 Zonnige Kempen</t>
  </si>
  <si>
    <t>interne verbrandingsmotor</t>
  </si>
  <si>
    <t>WKK interne verbrandinsgmotor (gas)</t>
  </si>
  <si>
    <t>Grote Markt 39, 2270 Herenthout</t>
  </si>
  <si>
    <t>IVEKA</t>
  </si>
  <si>
    <t>Kris Ceulemans</t>
  </si>
  <si>
    <t>Binnenstraat 10a , 2270 Herenthout</t>
  </si>
  <si>
    <t>WKK-0205 Kris Ceulemans</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</si>
</sst>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1">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3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4"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0" borderId="0" xfId="0"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64"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77" xfId="0" applyNumberFormat="1" applyFont="1" applyFill="1" applyBorder="1" applyAlignment="1" applyProtection="1">
      <alignment horizontal="center" vertical="center" wrapText="1"/>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188" xfId="3" applyNumberFormat="1" applyFont="1" applyBorder="1"/>
    <xf numFmtId="0" fontId="0" fillId="0" borderId="188"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68365.906380344793</c:v>
                </c:pt>
                <c:pt idx="1">
                  <c:v>21478.682711882797</c:v>
                </c:pt>
                <c:pt idx="2">
                  <c:v>439.327</c:v>
                </c:pt>
                <c:pt idx="3">
                  <c:v>17898.337415594582</c:v>
                </c:pt>
                <c:pt idx="4">
                  <c:v>9287.643856131117</c:v>
                </c:pt>
                <c:pt idx="5">
                  <c:v>40232.342013964131</c:v>
                </c:pt>
                <c:pt idx="6">
                  <c:v>471.1040680172589</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76812032"/>
        <c:axId val="176813568"/>
      </c:barChart>
      <c:catAx>
        <c:axId val="176812032"/>
        <c:scaling>
          <c:orientation val="minMax"/>
        </c:scaling>
        <c:axPos val="b"/>
        <c:numFmt formatCode="General" sourceLinked="0"/>
        <c:tickLblPos val="nextTo"/>
        <c:crossAx val="176813568"/>
        <c:crosses val="autoZero"/>
        <c:auto val="1"/>
        <c:lblAlgn val="ctr"/>
        <c:lblOffset val="100"/>
      </c:catAx>
      <c:valAx>
        <c:axId val="176813568"/>
        <c:scaling>
          <c:orientation val="minMax"/>
        </c:scaling>
        <c:axPos val="l"/>
        <c:majorGridlines/>
        <c:numFmt formatCode="#,##0" sourceLinked="1"/>
        <c:tickLblPos val="nextTo"/>
        <c:crossAx val="17681203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68365.906380344793</c:v>
                </c:pt>
                <c:pt idx="1">
                  <c:v>21478.682711882797</c:v>
                </c:pt>
                <c:pt idx="2">
                  <c:v>439.327</c:v>
                </c:pt>
                <c:pt idx="3">
                  <c:v>17898.337415594582</c:v>
                </c:pt>
                <c:pt idx="4">
                  <c:v>9287.643856131117</c:v>
                </c:pt>
                <c:pt idx="5">
                  <c:v>40232.342013964131</c:v>
                </c:pt>
                <c:pt idx="6">
                  <c:v>471.1040680172589</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12960.685493005109</c:v>
                </c:pt>
                <c:pt idx="1">
                  <c:v>4322.8269576967214</c:v>
                </c:pt>
                <c:pt idx="2">
                  <c:v>92.458241830606212</c:v>
                </c:pt>
                <c:pt idx="3">
                  <c:v>4269.0662795894123</c:v>
                </c:pt>
                <c:pt idx="4">
                  <c:v>1841.5296111580997</c:v>
                </c:pt>
                <c:pt idx="5">
                  <c:v>10071.225490948695</c:v>
                </c:pt>
                <c:pt idx="6">
                  <c:v>118.99864058767005</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77248896"/>
        <c:axId val="183566720"/>
      </c:barChart>
      <c:catAx>
        <c:axId val="177248896"/>
        <c:scaling>
          <c:orientation val="minMax"/>
        </c:scaling>
        <c:axPos val="b"/>
        <c:numFmt formatCode="General" sourceLinked="0"/>
        <c:tickLblPos val="nextTo"/>
        <c:crossAx val="183566720"/>
        <c:crosses val="autoZero"/>
        <c:auto val="1"/>
        <c:lblAlgn val="ctr"/>
        <c:lblOffset val="100"/>
      </c:catAx>
      <c:valAx>
        <c:axId val="183566720"/>
        <c:scaling>
          <c:orientation val="minMax"/>
        </c:scaling>
        <c:axPos val="l"/>
        <c:majorGridlines/>
        <c:numFmt formatCode="#,##0" sourceLinked="1"/>
        <c:tickLblPos val="nextTo"/>
        <c:crossAx val="17724889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12960.685493005109</c:v>
                </c:pt>
                <c:pt idx="1">
                  <c:v>4322.8269576967214</c:v>
                </c:pt>
                <c:pt idx="2">
                  <c:v>92.458241830606212</c:v>
                </c:pt>
                <c:pt idx="3">
                  <c:v>4269.0662795894123</c:v>
                </c:pt>
                <c:pt idx="4">
                  <c:v>1841.5296111580997</c:v>
                </c:pt>
                <c:pt idx="5">
                  <c:v>10071.225490948695</c:v>
                </c:pt>
                <c:pt idx="6">
                  <c:v>118.99864058767005</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8"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5694" cy="6058958"/>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789</v>
      </c>
      <c r="B4" s="106"/>
      <c r="C4" s="107"/>
    </row>
    <row r="5" spans="1:7" s="414" customFormat="1" ht="15.75" customHeight="1">
      <c r="A5" s="411" t="s">
        <v>0</v>
      </c>
      <c r="B5" s="412"/>
      <c r="C5" s="413"/>
    </row>
    <row r="6" spans="1:7" s="414" customFormat="1" ht="15" customHeight="1">
      <c r="A6" s="415" t="str">
        <f>txtNIS</f>
        <v>13012</v>
      </c>
      <c r="B6" s="416"/>
      <c r="C6" s="417"/>
    </row>
    <row r="7" spans="1:7" s="414" customFormat="1" ht="15.75" customHeight="1">
      <c r="A7" s="418" t="str">
        <f>txtMunicipality</f>
        <v>HERENTHOUT</v>
      </c>
      <c r="B7" s="416"/>
      <c r="C7" s="417"/>
    </row>
    <row r="8" spans="1:7" ht="15.75" thickBot="1">
      <c r="A8" s="45"/>
      <c r="B8" s="108"/>
      <c r="C8" s="109"/>
    </row>
    <row r="9" spans="1:7" s="407" customFormat="1" ht="15.75" thickBot="1">
      <c r="A9" s="431" t="s">
        <v>357</v>
      </c>
      <c r="B9" s="434"/>
      <c r="C9" s="435"/>
    </row>
    <row r="10" spans="1:7" s="15" customFormat="1" ht="57.75" customHeight="1" thickBot="1">
      <c r="A10" s="1027" t="s">
        <v>684</v>
      </c>
      <c r="B10" s="1028"/>
      <c r="C10" s="102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30" t="s">
        <v>530</v>
      </c>
      <c r="C16" s="103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13012</v>
      </c>
      <c r="B1" s="332"/>
      <c r="C1" s="332"/>
      <c r="D1" s="332"/>
      <c r="E1" s="332"/>
      <c r="F1" s="333"/>
    </row>
    <row r="3" spans="1:6" ht="19.5">
      <c r="A3" s="335" t="s">
        <v>0</v>
      </c>
    </row>
    <row r="4" spans="1:6" ht="22.5">
      <c r="A4" s="1223" t="s">
        <v>826</v>
      </c>
    </row>
    <row r="5" spans="1:6" ht="22.5">
      <c r="A5" s="1223" t="s">
        <v>827</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3658</v>
      </c>
      <c r="C9" s="342">
        <v>3974</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1203</v>
      </c>
    </row>
    <row r="15" spans="1:6">
      <c r="A15" s="348" t="s">
        <v>184</v>
      </c>
      <c r="B15" s="334">
        <v>17</v>
      </c>
    </row>
    <row r="16" spans="1:6">
      <c r="A16" s="348" t="s">
        <v>6</v>
      </c>
      <c r="B16" s="334">
        <v>970</v>
      </c>
    </row>
    <row r="17" spans="1:6">
      <c r="A17" s="348" t="s">
        <v>7</v>
      </c>
      <c r="B17" s="334">
        <v>57</v>
      </c>
    </row>
    <row r="18" spans="1:6">
      <c r="A18" s="348" t="s">
        <v>8</v>
      </c>
      <c r="B18" s="334">
        <v>551</v>
      </c>
    </row>
    <row r="19" spans="1:6">
      <c r="A19" s="348" t="s">
        <v>9</v>
      </c>
      <c r="B19" s="334">
        <v>555</v>
      </c>
    </row>
    <row r="20" spans="1:6">
      <c r="A20" s="348" t="s">
        <v>10</v>
      </c>
      <c r="B20" s="334">
        <v>287</v>
      </c>
    </row>
    <row r="21" spans="1:6">
      <c r="A21" s="348" t="s">
        <v>11</v>
      </c>
      <c r="B21" s="334">
        <v>2834</v>
      </c>
    </row>
    <row r="22" spans="1:6">
      <c r="A22" s="348" t="s">
        <v>12</v>
      </c>
      <c r="B22" s="334">
        <v>7270</v>
      </c>
    </row>
    <row r="23" spans="1:6">
      <c r="A23" s="348" t="s">
        <v>13</v>
      </c>
      <c r="B23" s="334">
        <v>159</v>
      </c>
    </row>
    <row r="24" spans="1:6">
      <c r="A24" s="348" t="s">
        <v>14</v>
      </c>
      <c r="B24" s="334">
        <v>10</v>
      </c>
    </row>
    <row r="25" spans="1:6">
      <c r="A25" s="348" t="s">
        <v>15</v>
      </c>
      <c r="B25" s="334">
        <v>884</v>
      </c>
    </row>
    <row r="26" spans="1:6">
      <c r="A26" s="348" t="s">
        <v>16</v>
      </c>
      <c r="B26" s="334">
        <v>50</v>
      </c>
    </row>
    <row r="27" spans="1:6">
      <c r="A27" s="348" t="s">
        <v>17</v>
      </c>
      <c r="B27" s="334">
        <v>10</v>
      </c>
    </row>
    <row r="28" spans="1:6" s="356" customFormat="1">
      <c r="A28" s="355" t="s">
        <v>18</v>
      </c>
      <c r="B28" s="355">
        <v>3</v>
      </c>
    </row>
    <row r="29" spans="1:6">
      <c r="A29" s="355" t="s">
        <v>828</v>
      </c>
      <c r="B29" s="355">
        <v>156</v>
      </c>
      <c r="C29" s="356"/>
      <c r="D29" s="356"/>
      <c r="E29" s="356"/>
      <c r="F29" s="356"/>
    </row>
    <row r="30" spans="1:6">
      <c r="A30" s="341" t="s">
        <v>829</v>
      </c>
      <c r="B30" s="341">
        <v>7</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2</v>
      </c>
      <c r="D38" s="334">
        <v>115339.715355327</v>
      </c>
      <c r="E38" s="334">
        <v>2</v>
      </c>
      <c r="F38" s="334">
        <v>49139.26</v>
      </c>
    </row>
    <row r="39" spans="1:6">
      <c r="A39" s="348" t="s">
        <v>30</v>
      </c>
      <c r="B39" s="348" t="s">
        <v>31</v>
      </c>
      <c r="C39" s="334">
        <v>2791</v>
      </c>
      <c r="D39" s="334">
        <v>43980498.096240804</v>
      </c>
      <c r="E39" s="334">
        <v>3572</v>
      </c>
      <c r="F39" s="334">
        <v>13131046</v>
      </c>
    </row>
    <row r="40" spans="1:6">
      <c r="A40" s="348" t="s">
        <v>30</v>
      </c>
      <c r="B40" s="348" t="s">
        <v>29</v>
      </c>
      <c r="C40" s="334">
        <v>0</v>
      </c>
      <c r="D40" s="334">
        <v>0</v>
      </c>
      <c r="E40" s="334">
        <v>0</v>
      </c>
      <c r="F40" s="334">
        <v>0</v>
      </c>
    </row>
    <row r="41" spans="1:6">
      <c r="A41" s="348" t="s">
        <v>32</v>
      </c>
      <c r="B41" s="348" t="s">
        <v>33</v>
      </c>
      <c r="C41" s="334">
        <v>20</v>
      </c>
      <c r="D41" s="334">
        <v>476316.299975431</v>
      </c>
      <c r="E41" s="334">
        <v>56</v>
      </c>
      <c r="F41" s="334">
        <v>617188.80000000005</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4</v>
      </c>
      <c r="F44" s="334">
        <v>13057.94</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28</v>
      </c>
      <c r="D48" s="334">
        <v>1319610.7094600101</v>
      </c>
      <c r="E48" s="334">
        <v>25</v>
      </c>
      <c r="F48" s="334">
        <v>3449240</v>
      </c>
    </row>
    <row r="49" spans="1:6">
      <c r="A49" s="348" t="s">
        <v>32</v>
      </c>
      <c r="B49" s="348" t="s">
        <v>40</v>
      </c>
      <c r="C49" s="334">
        <v>0</v>
      </c>
      <c r="D49" s="334">
        <v>0</v>
      </c>
      <c r="E49" s="334">
        <v>0</v>
      </c>
      <c r="F49" s="334">
        <v>0</v>
      </c>
    </row>
    <row r="50" spans="1:6">
      <c r="A50" s="348" t="s">
        <v>32</v>
      </c>
      <c r="B50" s="348" t="s">
        <v>41</v>
      </c>
      <c r="C50" s="334">
        <v>5</v>
      </c>
      <c r="D50" s="334">
        <v>96044.881096466095</v>
      </c>
      <c r="E50" s="334">
        <v>5</v>
      </c>
      <c r="F50" s="334">
        <v>294671</v>
      </c>
    </row>
    <row r="51" spans="1:6">
      <c r="A51" s="348" t="s">
        <v>42</v>
      </c>
      <c r="B51" s="348" t="s">
        <v>43</v>
      </c>
      <c r="C51" s="334">
        <v>3</v>
      </c>
      <c r="D51" s="334">
        <v>80912.855861620803</v>
      </c>
      <c r="E51" s="334">
        <v>31</v>
      </c>
      <c r="F51" s="334">
        <v>798507.6</v>
      </c>
    </row>
    <row r="52" spans="1:6">
      <c r="A52" s="348" t="s">
        <v>42</v>
      </c>
      <c r="B52" s="348" t="s">
        <v>29</v>
      </c>
      <c r="C52" s="334">
        <v>3</v>
      </c>
      <c r="D52" s="334">
        <v>29225404.0718854</v>
      </c>
      <c r="E52" s="334">
        <v>9</v>
      </c>
      <c r="F52" s="334">
        <v>176953.1</v>
      </c>
    </row>
    <row r="53" spans="1:6">
      <c r="A53" s="348" t="s">
        <v>44</v>
      </c>
      <c r="B53" s="348" t="s">
        <v>45</v>
      </c>
      <c r="C53" s="334">
        <v>52</v>
      </c>
      <c r="D53" s="334">
        <v>889365.79366950504</v>
      </c>
      <c r="E53" s="334">
        <v>121</v>
      </c>
      <c r="F53" s="334">
        <v>464762.3</v>
      </c>
    </row>
    <row r="54" spans="1:6">
      <c r="A54" s="348" t="s">
        <v>46</v>
      </c>
      <c r="B54" s="348" t="s">
        <v>47</v>
      </c>
      <c r="C54" s="334">
        <v>0</v>
      </c>
      <c r="D54" s="334">
        <v>0</v>
      </c>
      <c r="E54" s="334">
        <v>1</v>
      </c>
      <c r="F54" s="334">
        <v>439327</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31</v>
      </c>
      <c r="D57" s="334">
        <v>2395437.1365575599</v>
      </c>
      <c r="E57" s="334">
        <v>56</v>
      </c>
      <c r="F57" s="334">
        <v>890640.8</v>
      </c>
    </row>
    <row r="58" spans="1:6">
      <c r="A58" s="348" t="s">
        <v>49</v>
      </c>
      <c r="B58" s="348" t="s">
        <v>51</v>
      </c>
      <c r="C58" s="334">
        <v>10</v>
      </c>
      <c r="D58" s="334">
        <v>363503.81010142103</v>
      </c>
      <c r="E58" s="334">
        <v>9</v>
      </c>
      <c r="F58" s="334">
        <v>51612.61</v>
      </c>
    </row>
    <row r="59" spans="1:6">
      <c r="A59" s="348" t="s">
        <v>49</v>
      </c>
      <c r="B59" s="348" t="s">
        <v>52</v>
      </c>
      <c r="C59" s="334">
        <v>35</v>
      </c>
      <c r="D59" s="334">
        <v>1305713.79194524</v>
      </c>
      <c r="E59" s="334">
        <v>73</v>
      </c>
      <c r="F59" s="334">
        <v>2985852</v>
      </c>
    </row>
    <row r="60" spans="1:6">
      <c r="A60" s="348" t="s">
        <v>49</v>
      </c>
      <c r="B60" s="348" t="s">
        <v>53</v>
      </c>
      <c r="C60" s="334">
        <v>27</v>
      </c>
      <c r="D60" s="334">
        <v>935640.42899716506</v>
      </c>
      <c r="E60" s="334">
        <v>36</v>
      </c>
      <c r="F60" s="334">
        <v>822663.7</v>
      </c>
    </row>
    <row r="61" spans="1:6">
      <c r="A61" s="348" t="s">
        <v>49</v>
      </c>
      <c r="B61" s="348" t="s">
        <v>54</v>
      </c>
      <c r="C61" s="334">
        <v>56</v>
      </c>
      <c r="D61" s="334">
        <v>4385291.4396190196</v>
      </c>
      <c r="E61" s="334">
        <v>105</v>
      </c>
      <c r="F61" s="334">
        <v>1786156</v>
      </c>
    </row>
    <row r="62" spans="1:6">
      <c r="A62" s="348" t="s">
        <v>49</v>
      </c>
      <c r="B62" s="348" t="s">
        <v>55</v>
      </c>
      <c r="C62" s="334">
        <v>0</v>
      </c>
      <c r="D62" s="334">
        <v>0</v>
      </c>
      <c r="E62" s="334">
        <v>0</v>
      </c>
      <c r="F62" s="334">
        <v>0</v>
      </c>
    </row>
    <row r="63" spans="1:6">
      <c r="A63" s="348" t="s">
        <v>49</v>
      </c>
      <c r="B63" s="348" t="s">
        <v>29</v>
      </c>
      <c r="C63" s="334">
        <v>70</v>
      </c>
      <c r="D63" s="334">
        <v>2233479.87855398</v>
      </c>
      <c r="E63" s="334">
        <v>94</v>
      </c>
      <c r="F63" s="334">
        <v>2201862</v>
      </c>
    </row>
    <row r="64" spans="1:6">
      <c r="A64" s="348" t="s">
        <v>56</v>
      </c>
      <c r="B64" s="348" t="s">
        <v>57</v>
      </c>
      <c r="C64" s="334">
        <v>0</v>
      </c>
      <c r="D64" s="334">
        <v>0</v>
      </c>
      <c r="E64" s="334">
        <v>0</v>
      </c>
      <c r="F64" s="334">
        <v>0</v>
      </c>
    </row>
    <row r="65" spans="1:6">
      <c r="A65" s="348" t="s">
        <v>56</v>
      </c>
      <c r="B65" s="348" t="s">
        <v>29</v>
      </c>
      <c r="C65" s="334">
        <v>0</v>
      </c>
      <c r="D65" s="334">
        <v>0</v>
      </c>
      <c r="E65" s="334">
        <v>2</v>
      </c>
      <c r="F65" s="334">
        <v>1794.921</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3</v>
      </c>
      <c r="D68" s="334">
        <v>657511.75293229497</v>
      </c>
      <c r="E68" s="334">
        <v>7</v>
      </c>
      <c r="F68" s="334">
        <v>367271.6</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24" t="s">
        <v>731</v>
      </c>
      <c r="D72" s="361">
        <v>2014</v>
      </c>
      <c r="E72" s="361">
        <v>2020</v>
      </c>
      <c r="F72" s="347"/>
    </row>
    <row r="73" spans="1:6">
      <c r="A73" s="348" t="s">
        <v>64</v>
      </c>
      <c r="B73" s="348" t="s">
        <v>713</v>
      </c>
      <c r="C73" s="1229" t="s">
        <v>715</v>
      </c>
      <c r="D73" s="477">
        <v>43837917</v>
      </c>
      <c r="E73" s="477">
        <v>44809720.753484502</v>
      </c>
    </row>
    <row r="74" spans="1:6">
      <c r="A74" s="348" t="s">
        <v>64</v>
      </c>
      <c r="B74" s="348" t="s">
        <v>714</v>
      </c>
      <c r="C74" s="1229" t="s">
        <v>716</v>
      </c>
      <c r="D74" s="477">
        <v>1973099.8728146635</v>
      </c>
      <c r="E74" s="477">
        <v>2003316.3907529132</v>
      </c>
    </row>
    <row r="75" spans="1:6">
      <c r="A75" s="348" t="s">
        <v>65</v>
      </c>
      <c r="B75" s="348" t="s">
        <v>713</v>
      </c>
      <c r="C75" s="1229" t="s">
        <v>717</v>
      </c>
      <c r="D75" s="477">
        <v>8498937</v>
      </c>
      <c r="E75" s="477">
        <v>8719000.0882670749</v>
      </c>
    </row>
    <row r="76" spans="1:6">
      <c r="A76" s="348" t="s">
        <v>65</v>
      </c>
      <c r="B76" s="348" t="s">
        <v>714</v>
      </c>
      <c r="C76" s="1229" t="s">
        <v>718</v>
      </c>
      <c r="D76" s="477">
        <v>392280.87281466345</v>
      </c>
      <c r="E76" s="477">
        <v>412118.52871241147</v>
      </c>
    </row>
    <row r="77" spans="1:6">
      <c r="A77" s="348" t="s">
        <v>66</v>
      </c>
      <c r="B77" s="348" t="s">
        <v>713</v>
      </c>
      <c r="C77" s="1229" t="s">
        <v>719</v>
      </c>
      <c r="D77" s="477">
        <v>194442</v>
      </c>
      <c r="E77" s="477">
        <v>221352.56034041336</v>
      </c>
    </row>
    <row r="78" spans="1:6">
      <c r="A78" s="341" t="s">
        <v>66</v>
      </c>
      <c r="B78" s="341" t="s">
        <v>714</v>
      </c>
      <c r="C78" s="341" t="s">
        <v>720</v>
      </c>
      <c r="D78" s="1225">
        <v>49972</v>
      </c>
      <c r="E78" s="1225">
        <v>56417.206490501681</v>
      </c>
      <c r="F78" s="342"/>
    </row>
    <row r="79" spans="1:6">
      <c r="A79" s="362"/>
      <c r="B79" s="362"/>
    </row>
    <row r="80" spans="1:6" ht="15.75" thickBot="1">
      <c r="A80" s="362"/>
      <c r="B80" s="362"/>
    </row>
    <row r="81" spans="1:6" ht="20.25" thickBot="1">
      <c r="A81" s="336" t="s">
        <v>334</v>
      </c>
      <c r="B81" s="363" t="s">
        <v>394</v>
      </c>
      <c r="C81" s="337" t="s">
        <v>830</v>
      </c>
      <c r="D81" s="337"/>
      <c r="E81" s="337"/>
      <c r="F81" s="344"/>
    </row>
    <row r="82" spans="1:6" ht="16.5" thickTop="1" thickBot="1">
      <c r="A82" s="345" t="s">
        <v>335</v>
      </c>
      <c r="B82" s="361">
        <v>2014</v>
      </c>
      <c r="C82" s="361">
        <v>2020</v>
      </c>
      <c r="D82" s="346"/>
      <c r="E82" s="346"/>
      <c r="F82" s="347"/>
    </row>
    <row r="83" spans="1:6">
      <c r="A83" s="348" t="s">
        <v>336</v>
      </c>
      <c r="B83" s="477">
        <v>125890.25437067312</v>
      </c>
      <c r="C83" s="477">
        <v>124463.9072773634</v>
      </c>
    </row>
    <row r="84" spans="1:6">
      <c r="A84" s="341" t="s">
        <v>337</v>
      </c>
      <c r="B84" s="1225">
        <v>0</v>
      </c>
      <c r="C84" s="1225">
        <v>0</v>
      </c>
      <c r="D84" s="342"/>
      <c r="E84" s="342"/>
      <c r="F84" s="342"/>
    </row>
    <row r="85" spans="1:6">
      <c r="A85" s="362"/>
      <c r="B85" s="364"/>
    </row>
    <row r="86" spans="1:6" ht="15.75" thickBot="1">
      <c r="A86" s="343"/>
    </row>
    <row r="87" spans="1:6" ht="20.25" thickBot="1">
      <c r="A87" s="336" t="s">
        <v>67</v>
      </c>
      <c r="B87" s="337" t="s">
        <v>394</v>
      </c>
      <c r="C87" s="337" t="s">
        <v>831</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26">
        <v>0</v>
      </c>
    </row>
    <row r="91" spans="1:6">
      <c r="A91" s="348" t="s">
        <v>68</v>
      </c>
      <c r="B91" s="334">
        <v>1675.4768356262105</v>
      </c>
    </row>
    <row r="92" spans="1:6">
      <c r="A92" s="341" t="s">
        <v>69</v>
      </c>
      <c r="B92" s="342">
        <v>410.37140411565241</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2060</v>
      </c>
    </row>
    <row r="98" spans="1:6">
      <c r="A98" s="348" t="s">
        <v>72</v>
      </c>
      <c r="B98" s="334">
        <v>2</v>
      </c>
    </row>
    <row r="99" spans="1:6">
      <c r="A99" s="348" t="s">
        <v>73</v>
      </c>
      <c r="B99" s="334">
        <v>50</v>
      </c>
    </row>
    <row r="100" spans="1:6">
      <c r="A100" s="348" t="s">
        <v>74</v>
      </c>
      <c r="B100" s="334">
        <v>144</v>
      </c>
    </row>
    <row r="101" spans="1:6">
      <c r="A101" s="348" t="s">
        <v>75</v>
      </c>
      <c r="B101" s="334">
        <v>41</v>
      </c>
    </row>
    <row r="102" spans="1:6">
      <c r="A102" s="348" t="s">
        <v>76</v>
      </c>
      <c r="B102" s="334">
        <v>32</v>
      </c>
    </row>
    <row r="103" spans="1:6">
      <c r="A103" s="348" t="s">
        <v>77</v>
      </c>
      <c r="B103" s="334">
        <v>94</v>
      </c>
    </row>
    <row r="104" spans="1:6">
      <c r="A104" s="348" t="s">
        <v>78</v>
      </c>
      <c r="B104" s="334">
        <v>824</v>
      </c>
    </row>
    <row r="105" spans="1:6">
      <c r="A105" s="341" t="s">
        <v>79</v>
      </c>
      <c r="B105" s="341">
        <v>2</v>
      </c>
      <c r="C105" s="342"/>
      <c r="D105" s="342"/>
      <c r="E105" s="342"/>
      <c r="F105" s="342"/>
    </row>
    <row r="106" spans="1:6">
      <c r="A106" s="343"/>
    </row>
    <row r="107" spans="1:6" ht="15.75" thickBot="1">
      <c r="A107" s="343"/>
    </row>
    <row r="108" spans="1:6" ht="20.25" thickBot="1">
      <c r="A108" s="336" t="s">
        <v>661</v>
      </c>
      <c r="B108" s="337" t="s">
        <v>394</v>
      </c>
      <c r="C108" s="337" t="s">
        <v>832</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227" t="s">
        <v>663</v>
      </c>
      <c r="B111" s="1228">
        <v>0</v>
      </c>
      <c r="C111" s="1228"/>
      <c r="D111" s="1228"/>
      <c r="E111" s="1228"/>
      <c r="F111" s="1228"/>
    </row>
    <row r="112" spans="1:6">
      <c r="A112" s="348"/>
    </row>
    <row r="113" spans="1:6" ht="15.75" thickBot="1">
      <c r="A113" s="341"/>
      <c r="B113" s="342"/>
      <c r="C113" s="342"/>
      <c r="D113" s="342"/>
      <c r="E113" s="342"/>
      <c r="F113" s="342"/>
    </row>
    <row r="114" spans="1:6" ht="20.25" thickBot="1">
      <c r="A114" s="336" t="s">
        <v>80</v>
      </c>
      <c r="B114" s="337" t="s">
        <v>394</v>
      </c>
      <c r="C114" s="337" t="s">
        <v>833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7</v>
      </c>
      <c r="C123" s="334">
        <v>11</v>
      </c>
    </row>
    <row r="124" spans="1:6">
      <c r="A124" s="341" t="s">
        <v>89</v>
      </c>
      <c r="B124" s="334">
        <v>0</v>
      </c>
      <c r="C124" s="334">
        <v>1</v>
      </c>
      <c r="D124" s="342"/>
      <c r="E124" s="342"/>
      <c r="F124" s="342"/>
    </row>
    <row r="125" spans="1:6">
      <c r="A125" s="362"/>
    </row>
    <row r="126" spans="1:6" ht="15.75" thickBot="1">
      <c r="A126" s="362"/>
    </row>
    <row r="127" spans="1:6" ht="20.25" thickBot="1">
      <c r="A127" s="336" t="s">
        <v>293</v>
      </c>
      <c r="B127" s="337" t="s">
        <v>394</v>
      </c>
      <c r="C127" s="337" t="s">
        <v>832</v>
      </c>
      <c r="D127" s="337"/>
      <c r="E127" s="337"/>
      <c r="F127" s="344"/>
    </row>
    <row r="128" spans="1:6" ht="16.5" thickTop="1" thickBot="1">
      <c r="A128" s="345" t="s">
        <v>4</v>
      </c>
      <c r="B128" s="346" t="s">
        <v>5</v>
      </c>
      <c r="C128" s="346"/>
      <c r="D128" s="346"/>
      <c r="E128" s="346"/>
      <c r="F128" s="347"/>
    </row>
    <row r="129" spans="1:6">
      <c r="A129" s="348" t="s">
        <v>294</v>
      </c>
      <c r="B129" s="334">
        <v>54</v>
      </c>
    </row>
    <row r="130" spans="1:6">
      <c r="A130" s="348" t="s">
        <v>295</v>
      </c>
      <c r="B130" s="334">
        <v>2</v>
      </c>
    </row>
    <row r="131" spans="1:6">
      <c r="A131" s="348" t="s">
        <v>296</v>
      </c>
      <c r="B131" s="334">
        <v>1</v>
      </c>
    </row>
    <row r="132" spans="1:6">
      <c r="A132" s="341" t="s">
        <v>297</v>
      </c>
      <c r="B132" s="342">
        <v>8</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29366.204984710716</v>
      </c>
      <c r="C3" s="43" t="s">
        <v>170</v>
      </c>
      <c r="D3" s="43"/>
      <c r="E3" s="154"/>
      <c r="F3" s="43"/>
      <c r="G3" s="43"/>
      <c r="H3" s="43"/>
      <c r="I3" s="43"/>
      <c r="J3" s="43"/>
      <c r="K3" s="96"/>
    </row>
    <row r="4" spans="1:11">
      <c r="A4" s="384" t="s">
        <v>171</v>
      </c>
      <c r="B4" s="49">
        <f>IF(ISERROR('SEAP template'!B69),0,'SEAP template'!B69)</f>
        <v>11173.598239741861</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799</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2159.677058823529</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0.21045426716456356</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3085.2529411764704</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12982.499999999998</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0.23764705882352943</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29">
        <v>2014</v>
      </c>
      <c r="B1" s="113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31"/>
      <c r="B2" s="113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31"/>
      <c r="B3" s="113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33"/>
      <c r="B4" s="113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35" t="s">
        <v>477</v>
      </c>
      <c r="B2" s="1136"/>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8" sqref="B8"/>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37" t="s">
        <v>194</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439.327</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439.327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0.21045426716456356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92.458241830606212</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activeCell="B12" sqref="B1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37" t="s">
        <v>155</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13131.046</v>
      </c>
      <c r="C5" s="17">
        <f>IF(ISERROR('Eigen informatie GS &amp; warmtenet'!B57),0,'Eigen informatie GS &amp; warmtenet'!B57)</f>
        <v>0</v>
      </c>
      <c r="D5" s="30">
        <f>(SUM(HH_hh_gas_kWh,HH_rest_gas_kWh)/1000)*0.902</f>
        <v>39670.409282809203</v>
      </c>
      <c r="E5" s="17">
        <f>B46*B57</f>
        <v>2111.0913785762186</v>
      </c>
      <c r="F5" s="17">
        <f>B51*B62</f>
        <v>4088.7983163288809</v>
      </c>
      <c r="G5" s="18"/>
      <c r="H5" s="17"/>
      <c r="I5" s="17"/>
      <c r="J5" s="17">
        <f>B50*B61+C50*C61</f>
        <v>735.14127642357062</v>
      </c>
      <c r="K5" s="17"/>
      <c r="L5" s="17"/>
      <c r="M5" s="17"/>
      <c r="N5" s="17">
        <f>B48*B59+C48*C59</f>
        <v>6564.7632905807141</v>
      </c>
      <c r="O5" s="17">
        <f>B69*B70*B71</f>
        <v>103.17999999999999</v>
      </c>
      <c r="P5" s="17">
        <f>B77*B78*B79/1000-B77*B78*B79/1000/B80</f>
        <v>286</v>
      </c>
    </row>
    <row r="6" spans="1:16">
      <c r="A6" s="16" t="s">
        <v>631</v>
      </c>
      <c r="B6" s="844">
        <f>kWh_PV_kleiner_dan_10kW</f>
        <v>1675.4768356262105</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14806.522835626211</v>
      </c>
      <c r="C8" s="21">
        <f>C5</f>
        <v>0</v>
      </c>
      <c r="D8" s="21">
        <f>D5</f>
        <v>39670.409282809203</v>
      </c>
      <c r="E8" s="21">
        <f>E5</f>
        <v>2111.0913785762186</v>
      </c>
      <c r="F8" s="21">
        <f>F5</f>
        <v>4088.7983163288809</v>
      </c>
      <c r="G8" s="21"/>
      <c r="H8" s="21"/>
      <c r="I8" s="21"/>
      <c r="J8" s="21">
        <f>J5</f>
        <v>735.14127642357062</v>
      </c>
      <c r="K8" s="21"/>
      <c r="L8" s="21">
        <f>L5</f>
        <v>0</v>
      </c>
      <c r="M8" s="21">
        <f>M5</f>
        <v>0</v>
      </c>
      <c r="N8" s="21">
        <f>N5</f>
        <v>6564.7632905807141</v>
      </c>
      <c r="O8" s="21">
        <f>O5</f>
        <v>103.17999999999999</v>
      </c>
      <c r="P8" s="21">
        <f>P5</f>
        <v>286</v>
      </c>
    </row>
    <row r="9" spans="1:16">
      <c r="B9" s="19"/>
      <c r="C9" s="19"/>
      <c r="D9" s="258"/>
      <c r="E9" s="19"/>
      <c r="F9" s="19"/>
      <c r="G9" s="19"/>
      <c r="H9" s="19"/>
      <c r="I9" s="19"/>
      <c r="J9" s="19"/>
      <c r="K9" s="19"/>
      <c r="L9" s="19"/>
      <c r="M9" s="19"/>
      <c r="N9" s="19"/>
      <c r="O9" s="19"/>
      <c r="P9" s="19"/>
    </row>
    <row r="10" spans="1:16">
      <c r="A10" s="24" t="s">
        <v>214</v>
      </c>
      <c r="B10" s="25">
        <f ca="1">'EF ele_warmte'!B12</f>
        <v>0.21045426716456356</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3116.0959126270895</v>
      </c>
      <c r="C12" s="23">
        <f ca="1">C10*C8</f>
        <v>0</v>
      </c>
      <c r="D12" s="23">
        <f>D8*D10</f>
        <v>8013.42267512746</v>
      </c>
      <c r="E12" s="23">
        <f>E10*E8</f>
        <v>479.21774293680164</v>
      </c>
      <c r="F12" s="23">
        <f>F10*F8</f>
        <v>1091.7091504598113</v>
      </c>
      <c r="G12" s="23"/>
      <c r="H12" s="23"/>
      <c r="I12" s="23"/>
      <c r="J12" s="23">
        <f>J10*J8</f>
        <v>260.240011853944</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2060</v>
      </c>
      <c r="C18" s="166" t="s">
        <v>111</v>
      </c>
      <c r="D18" s="228"/>
      <c r="E18" s="15"/>
    </row>
    <row r="19" spans="1:7">
      <c r="A19" s="171" t="s">
        <v>72</v>
      </c>
      <c r="B19" s="37">
        <f>aantalw2001_ander</f>
        <v>2</v>
      </c>
      <c r="C19" s="166" t="s">
        <v>111</v>
      </c>
      <c r="D19" s="229"/>
      <c r="E19" s="15"/>
    </row>
    <row r="20" spans="1:7">
      <c r="A20" s="171" t="s">
        <v>73</v>
      </c>
      <c r="B20" s="37">
        <f>aantalw2001_propaan</f>
        <v>50</v>
      </c>
      <c r="C20" s="167">
        <f>IF(ISERROR(B20/SUM($B$20,$B$21,$B$22)*100),0,B20/SUM($B$20,$B$21,$B$22)*100)</f>
        <v>21.276595744680851</v>
      </c>
      <c r="D20" s="229"/>
      <c r="E20" s="15"/>
    </row>
    <row r="21" spans="1:7">
      <c r="A21" s="171" t="s">
        <v>74</v>
      </c>
      <c r="B21" s="37">
        <f>aantalw2001_elektriciteit</f>
        <v>144</v>
      </c>
      <c r="C21" s="167">
        <f>IF(ISERROR(B21/SUM($B$20,$B$21,$B$22)*100),0,B21/SUM($B$20,$B$21,$B$22)*100)</f>
        <v>61.276595744680847</v>
      </c>
      <c r="D21" s="229"/>
      <c r="E21" s="15"/>
    </row>
    <row r="22" spans="1:7">
      <c r="A22" s="171" t="s">
        <v>75</v>
      </c>
      <c r="B22" s="37">
        <f>aantalw2001_hout</f>
        <v>41</v>
      </c>
      <c r="C22" s="167">
        <f>IF(ISERROR(B22/SUM($B$20,$B$21,$B$22)*100),0,B22/SUM($B$20,$B$21,$B$22)*100)</f>
        <v>17.446808510638299</v>
      </c>
      <c r="D22" s="229"/>
      <c r="E22" s="15"/>
    </row>
    <row r="23" spans="1:7">
      <c r="A23" s="171" t="s">
        <v>76</v>
      </c>
      <c r="B23" s="37">
        <f>aantalw2001_niet_gespec</f>
        <v>32</v>
      </c>
      <c r="C23" s="166" t="s">
        <v>111</v>
      </c>
      <c r="D23" s="228"/>
      <c r="E23" s="15"/>
    </row>
    <row r="24" spans="1:7">
      <c r="A24" s="171" t="s">
        <v>77</v>
      </c>
      <c r="B24" s="37">
        <f>aantalw2001_steenkool</f>
        <v>94</v>
      </c>
      <c r="C24" s="166" t="s">
        <v>111</v>
      </c>
      <c r="D24" s="229"/>
      <c r="E24" s="15"/>
    </row>
    <row r="25" spans="1:7">
      <c r="A25" s="171" t="s">
        <v>78</v>
      </c>
      <c r="B25" s="37">
        <f>aantalw2001_stookolie</f>
        <v>824</v>
      </c>
      <c r="C25" s="166" t="s">
        <v>111</v>
      </c>
      <c r="D25" s="228"/>
      <c r="E25" s="52"/>
    </row>
    <row r="26" spans="1:7">
      <c r="A26" s="171" t="s">
        <v>79</v>
      </c>
      <c r="B26" s="37">
        <f>aantalw2001_WP</f>
        <v>2</v>
      </c>
      <c r="C26" s="166" t="s">
        <v>111</v>
      </c>
      <c r="D26" s="228"/>
      <c r="E26" s="15"/>
    </row>
    <row r="27" spans="1:7" s="15" customFormat="1">
      <c r="A27" s="171"/>
      <c r="B27" s="29"/>
      <c r="C27" s="36"/>
      <c r="D27" s="228"/>
    </row>
    <row r="28" spans="1:7" s="15" customFormat="1">
      <c r="A28" s="230" t="s">
        <v>740</v>
      </c>
      <c r="B28" s="37">
        <f>aantalHuishoudens2011</f>
        <v>3658</v>
      </c>
      <c r="C28" s="36"/>
      <c r="D28" s="228"/>
    </row>
    <row r="29" spans="1:7" s="15" customFormat="1">
      <c r="A29" s="230" t="s">
        <v>741</v>
      </c>
      <c r="B29" s="37">
        <f>SUM(HH_hh_gas_aantal,HH_rest_gas_aantal)</f>
        <v>2791</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2791</v>
      </c>
      <c r="C32" s="167">
        <f>IF(ISERROR(B32/SUM($B$32,$B$34,$B$35,$B$36,$B$38,$B$39)*100),0,B32/SUM($B$32,$B$34,$B$35,$B$36,$B$38,$B$39)*100)</f>
        <v>76.612681855613502</v>
      </c>
      <c r="D32" s="233"/>
      <c r="G32" s="15"/>
    </row>
    <row r="33" spans="1:7">
      <c r="A33" s="171" t="s">
        <v>72</v>
      </c>
      <c r="B33" s="34" t="s">
        <v>111</v>
      </c>
      <c r="C33" s="167"/>
      <c r="D33" s="233"/>
      <c r="G33" s="15"/>
    </row>
    <row r="34" spans="1:7">
      <c r="A34" s="171" t="s">
        <v>73</v>
      </c>
      <c r="B34" s="33">
        <f>IF((($B$28-$B$32-$B$39-$B$77-$B$38)*C20/100)&lt;0,0,($B$28-$B$32-$B$39-$B$77-$B$38)*C20/100)</f>
        <v>141.48936170212767</v>
      </c>
      <c r="C34" s="167">
        <f>IF(ISERROR(B34/SUM($B$32,$B$34,$B$35,$B$36,$B$38,$B$39)*100),0,B34/SUM($B$32,$B$34,$B$35,$B$36,$B$38,$B$39)*100)</f>
        <v>3.8838693851805566</v>
      </c>
      <c r="D34" s="233"/>
      <c r="G34" s="15"/>
    </row>
    <row r="35" spans="1:7">
      <c r="A35" s="171" t="s">
        <v>74</v>
      </c>
      <c r="B35" s="33">
        <f>IF((($B$28-$B$32-$B$39-$B$77-$B$38)*C21/100)&lt;0,0,($B$28-$B$32-$B$39-$B$77-$B$38)*C21/100)</f>
        <v>407.48936170212767</v>
      </c>
      <c r="C35" s="167">
        <f>IF(ISERROR(B35/SUM($B$32,$B$34,$B$35,$B$36,$B$38,$B$39)*100),0,B35/SUM($B$32,$B$34,$B$35,$B$36,$B$38,$B$39)*100)</f>
        <v>11.185543829320002</v>
      </c>
      <c r="D35" s="233"/>
      <c r="G35" s="15"/>
    </row>
    <row r="36" spans="1:7">
      <c r="A36" s="171" t="s">
        <v>75</v>
      </c>
      <c r="B36" s="33">
        <f>IF((($B$28-$B$32-$B$39-$B$77-$B$38)*C22/100)&lt;0,0,($B$28-$B$32-$B$39-$B$77-$B$38)*C22/100)</f>
        <v>116.02127659574469</v>
      </c>
      <c r="C36" s="167">
        <f>IF(ISERROR(B36/SUM($B$32,$B$34,$B$35,$B$36,$B$38,$B$39)*100),0,B36/SUM($B$32,$B$34,$B$35,$B$36,$B$38,$B$39)*100)</f>
        <v>3.1847728958480563</v>
      </c>
      <c r="D36" s="233"/>
      <c r="G36" s="15"/>
    </row>
    <row r="37" spans="1:7">
      <c r="A37" s="171" t="s">
        <v>76</v>
      </c>
      <c r="B37" s="34" t="s">
        <v>111</v>
      </c>
      <c r="C37" s="167"/>
      <c r="D37" s="173"/>
      <c r="G37" s="15"/>
    </row>
    <row r="38" spans="1:7">
      <c r="A38" s="171" t="s">
        <v>77</v>
      </c>
      <c r="B38" s="33">
        <f>IF((B24-(B29-B18)*0.1)&lt;0,0,B24-(B29-B18)*0.1)</f>
        <v>20.899999999999991</v>
      </c>
      <c r="C38" s="167">
        <f>IF(ISERROR(B38/SUM($B$32,$B$34,$B$35,$B$36,$B$38,$B$39)*100),0,B38/SUM($B$32,$B$34,$B$35,$B$36,$B$38,$B$39)*100)</f>
        <v>0.57370299203952757</v>
      </c>
      <c r="D38" s="234"/>
      <c r="G38" s="15"/>
    </row>
    <row r="39" spans="1:7">
      <c r="A39" s="171" t="s">
        <v>78</v>
      </c>
      <c r="B39" s="33">
        <f>IF((B25-(B29-B18))&lt;0,0,B25-(B29-B18)*0.9)</f>
        <v>166.10000000000002</v>
      </c>
      <c r="C39" s="167">
        <f>IF(ISERROR(B39/SUM($B$32,$B$34,$B$35,$B$36,$B$38,$B$39)*100),0,B39/SUM($B$32,$B$34,$B$35,$B$36,$B$38,$B$39)*100)</f>
        <v>4.5594290419983539</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2791</v>
      </c>
      <c r="C44" s="34" t="s">
        <v>111</v>
      </c>
      <c r="D44" s="174"/>
    </row>
    <row r="45" spans="1:7">
      <c r="A45" s="171" t="s">
        <v>72</v>
      </c>
      <c r="B45" s="33" t="str">
        <f t="shared" si="0"/>
        <v>-</v>
      </c>
      <c r="C45" s="34" t="s">
        <v>111</v>
      </c>
      <c r="D45" s="174"/>
    </row>
    <row r="46" spans="1:7">
      <c r="A46" s="171" t="s">
        <v>73</v>
      </c>
      <c r="B46" s="33">
        <f t="shared" si="0"/>
        <v>141.48936170212767</v>
      </c>
      <c r="C46" s="34" t="s">
        <v>111</v>
      </c>
      <c r="D46" s="174"/>
    </row>
    <row r="47" spans="1:7">
      <c r="A47" s="171" t="s">
        <v>74</v>
      </c>
      <c r="B47" s="33">
        <f t="shared" si="0"/>
        <v>407.48936170212767</v>
      </c>
      <c r="C47" s="34" t="s">
        <v>111</v>
      </c>
      <c r="D47" s="174"/>
    </row>
    <row r="48" spans="1:7">
      <c r="A48" s="171" t="s">
        <v>75</v>
      </c>
      <c r="B48" s="33">
        <f t="shared" si="0"/>
        <v>116.02127659574469</v>
      </c>
      <c r="C48" s="33">
        <f>B48*10</f>
        <v>1160.2127659574469</v>
      </c>
      <c r="D48" s="234"/>
    </row>
    <row r="49" spans="1:6">
      <c r="A49" s="171" t="s">
        <v>76</v>
      </c>
      <c r="B49" s="33" t="str">
        <f t="shared" si="0"/>
        <v>-</v>
      </c>
      <c r="C49" s="34" t="s">
        <v>111</v>
      </c>
      <c r="D49" s="234"/>
    </row>
    <row r="50" spans="1:6">
      <c r="A50" s="171" t="s">
        <v>77</v>
      </c>
      <c r="B50" s="33">
        <f t="shared" si="0"/>
        <v>20.899999999999991</v>
      </c>
      <c r="C50" s="33">
        <f>B50*2</f>
        <v>41.799999999999983</v>
      </c>
      <c r="D50" s="234"/>
    </row>
    <row r="51" spans="1:6">
      <c r="A51" s="171" t="s">
        <v>78</v>
      </c>
      <c r="B51" s="33">
        <f t="shared" si="0"/>
        <v>166.10000000000002</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66</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15</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30" sqref="C30"/>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156</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8738.7871100000011</v>
      </c>
      <c r="C5" s="17">
        <f>IF(ISERROR('Eigen informatie GS &amp; warmtenet'!B58),0,'Eigen informatie GS &amp; warmtenet'!B58)</f>
        <v>0</v>
      </c>
      <c r="D5" s="30">
        <f>SUM(D6:D12)</f>
        <v>10480.397970168495</v>
      </c>
      <c r="E5" s="17">
        <f>SUM(E6:E12)</f>
        <v>94.779140335527927</v>
      </c>
      <c r="F5" s="17">
        <f>SUM(F6:F12)</f>
        <v>1295.2422745988615</v>
      </c>
      <c r="G5" s="18"/>
      <c r="H5" s="17"/>
      <c r="I5" s="17"/>
      <c r="J5" s="17">
        <f>SUM(J6:J12)</f>
        <v>0</v>
      </c>
      <c r="K5" s="17"/>
      <c r="L5" s="17"/>
      <c r="M5" s="17"/>
      <c r="N5" s="17">
        <f>SUM(N6:N12)</f>
        <v>857.8900263037192</v>
      </c>
      <c r="O5" s="17">
        <f>B38*B39*B40</f>
        <v>3.1266666666666669</v>
      </c>
      <c r="P5" s="17">
        <f>B46*B47*B48/1000-B46*B47*B48/1000/B49</f>
        <v>19.066666666666666</v>
      </c>
      <c r="R5" s="32"/>
    </row>
    <row r="6" spans="1:18">
      <c r="A6" s="32" t="s">
        <v>54</v>
      </c>
      <c r="B6" s="37">
        <f>B26</f>
        <v>1786.1559999999999</v>
      </c>
      <c r="C6" s="33"/>
      <c r="D6" s="37">
        <f>IF(ISERROR(TER_kantoor_gas_kWh/1000),0,TER_kantoor_gas_kWh/1000)*0.902</f>
        <v>3955.5328785363558</v>
      </c>
      <c r="E6" s="33">
        <f>$C$26*'E Balans VL '!I12/100/3.6*1000000</f>
        <v>5.1747559982442546</v>
      </c>
      <c r="F6" s="33">
        <f>$C$26*('E Balans VL '!L12+'E Balans VL '!N12)/100/3.6*1000000</f>
        <v>202.15350713226195</v>
      </c>
      <c r="G6" s="34"/>
      <c r="H6" s="33"/>
      <c r="I6" s="33"/>
      <c r="J6" s="33">
        <f>$C$26*('E Balans VL '!D12+'E Balans VL '!E12)/100/3.6*1000000</f>
        <v>0</v>
      </c>
      <c r="K6" s="33"/>
      <c r="L6" s="33"/>
      <c r="M6" s="33"/>
      <c r="N6" s="33">
        <f>$C$26*'E Balans VL '!Y12/100/3.6*1000000</f>
        <v>17.878105461497025</v>
      </c>
      <c r="O6" s="33"/>
      <c r="P6" s="33"/>
      <c r="R6" s="32"/>
    </row>
    <row r="7" spans="1:18">
      <c r="A7" s="32" t="s">
        <v>53</v>
      </c>
      <c r="B7" s="37">
        <f t="shared" ref="B7:B12" si="0">B27</f>
        <v>822.66369999999995</v>
      </c>
      <c r="C7" s="33"/>
      <c r="D7" s="37">
        <f>IF(ISERROR(TER_horeca_gas_kWh/1000),0,TER_horeca_gas_kWh/1000)*0.902</f>
        <v>843.94766695544286</v>
      </c>
      <c r="E7" s="33">
        <f>$C$27*'E Balans VL '!I9/100/3.6*1000000</f>
        <v>34.533123649048918</v>
      </c>
      <c r="F7" s="33">
        <f>$C$27*('E Balans VL '!L9+'E Balans VL '!N9)/100/3.6*1000000</f>
        <v>176.76616625306389</v>
      </c>
      <c r="G7" s="34"/>
      <c r="H7" s="33"/>
      <c r="I7" s="33"/>
      <c r="J7" s="33">
        <f>$C$27*('E Balans VL '!D9+'E Balans VL '!E9)/100/3.6*1000000</f>
        <v>0</v>
      </c>
      <c r="K7" s="33"/>
      <c r="L7" s="33"/>
      <c r="M7" s="33"/>
      <c r="N7" s="33">
        <f>$C$27*'E Balans VL '!Y9/100/3.6*1000000</f>
        <v>0.21199324103494799</v>
      </c>
      <c r="O7" s="33"/>
      <c r="P7" s="33"/>
      <c r="R7" s="32"/>
    </row>
    <row r="8" spans="1:18">
      <c r="A8" s="6" t="s">
        <v>52</v>
      </c>
      <c r="B8" s="37">
        <f t="shared" si="0"/>
        <v>2985.8519999999999</v>
      </c>
      <c r="C8" s="33"/>
      <c r="D8" s="37">
        <f>IF(ISERROR(TER_handel_gas_kWh/1000),0,TER_handel_gas_kWh/1000)*0.902</f>
        <v>1177.7538403346066</v>
      </c>
      <c r="E8" s="33">
        <f>$C$28*'E Balans VL '!I13/100/3.6*1000000</f>
        <v>32.070535533977989</v>
      </c>
      <c r="F8" s="33">
        <f>$C$28*('E Balans VL '!L13+'E Balans VL '!N13)/100/3.6*1000000</f>
        <v>386.54319805752414</v>
      </c>
      <c r="G8" s="34"/>
      <c r="H8" s="33"/>
      <c r="I8" s="33"/>
      <c r="J8" s="33">
        <f>$C$28*('E Balans VL '!D13+'E Balans VL '!E13)/100/3.6*1000000</f>
        <v>0</v>
      </c>
      <c r="K8" s="33"/>
      <c r="L8" s="33"/>
      <c r="M8" s="33"/>
      <c r="N8" s="33">
        <f>$C$28*'E Balans VL '!Y13/100/3.6*1000000</f>
        <v>24.221394458607872</v>
      </c>
      <c r="O8" s="33"/>
      <c r="P8" s="33"/>
      <c r="R8" s="32"/>
    </row>
    <row r="9" spans="1:18">
      <c r="A9" s="32" t="s">
        <v>51</v>
      </c>
      <c r="B9" s="37">
        <f t="shared" si="0"/>
        <v>51.612610000000004</v>
      </c>
      <c r="C9" s="33"/>
      <c r="D9" s="37">
        <f>IF(ISERROR(TER_gezond_gas_kWh/1000),0,TER_gezond_gas_kWh/1000)*0.902</f>
        <v>327.88043671148176</v>
      </c>
      <c r="E9" s="33">
        <f>$C$29*'E Balans VL '!I10/100/3.6*1000000</f>
        <v>4.1086975774181397E-2</v>
      </c>
      <c r="F9" s="33">
        <f>$C$29*('E Balans VL '!L10+'E Balans VL '!N10)/100/3.6*1000000</f>
        <v>6.2742586148952588</v>
      </c>
      <c r="G9" s="34"/>
      <c r="H9" s="33"/>
      <c r="I9" s="33"/>
      <c r="J9" s="33">
        <f>$C$29*('E Balans VL '!D10+'E Balans VL '!E10)/100/3.6*1000000</f>
        <v>0</v>
      </c>
      <c r="K9" s="33"/>
      <c r="L9" s="33"/>
      <c r="M9" s="33"/>
      <c r="N9" s="33">
        <f>$C$29*'E Balans VL '!Y10/100/3.6*1000000</f>
        <v>0.41691298971740398</v>
      </c>
      <c r="O9" s="33"/>
      <c r="P9" s="33"/>
      <c r="R9" s="32"/>
    </row>
    <row r="10" spans="1:18">
      <c r="A10" s="32" t="s">
        <v>50</v>
      </c>
      <c r="B10" s="37">
        <f t="shared" si="0"/>
        <v>890.64080000000001</v>
      </c>
      <c r="C10" s="33"/>
      <c r="D10" s="37">
        <f>IF(ISERROR(TER_ander_gas_kWh/1000),0,TER_ander_gas_kWh/1000)*0.902</f>
        <v>2160.6842971749188</v>
      </c>
      <c r="E10" s="33">
        <f>$C$30*'E Balans VL '!I14/100/3.6*1000000</f>
        <v>3.0522728098700336</v>
      </c>
      <c r="F10" s="33">
        <f>$C$30*('E Balans VL '!L14+'E Balans VL '!N14)/100/3.6*1000000</f>
        <v>198.93296334110585</v>
      </c>
      <c r="G10" s="34"/>
      <c r="H10" s="33"/>
      <c r="I10" s="33"/>
      <c r="J10" s="33">
        <f>$C$30*('E Balans VL '!D14+'E Balans VL '!E14)/100/3.6*1000000</f>
        <v>0</v>
      </c>
      <c r="K10" s="33"/>
      <c r="L10" s="33"/>
      <c r="M10" s="33"/>
      <c r="N10" s="33">
        <f>$C$30*'E Balans VL '!Y14/100/3.6*1000000</f>
        <v>627.37224499558363</v>
      </c>
      <c r="O10" s="33"/>
      <c r="P10" s="33"/>
      <c r="R10" s="32"/>
    </row>
    <row r="11" spans="1:18">
      <c r="A11" s="32" t="s">
        <v>55</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2201.8620000000001</v>
      </c>
      <c r="C12" s="33"/>
      <c r="D12" s="37">
        <f>IF(ISERROR(TER_rest_gas_kWh/1000),0,TER_rest_gas_kWh/1000)*0.902</f>
        <v>2014.5988504556901</v>
      </c>
      <c r="E12" s="33">
        <f>$C$32*'E Balans VL '!I8/100/3.6*1000000</f>
        <v>19.90736536861256</v>
      </c>
      <c r="F12" s="33">
        <f>$C$32*('E Balans VL '!L8+'E Balans VL '!N8)/100/3.6*1000000</f>
        <v>324.57218120001039</v>
      </c>
      <c r="G12" s="34"/>
      <c r="H12" s="33"/>
      <c r="I12" s="33"/>
      <c r="J12" s="33">
        <f>$C$32*('E Balans VL '!D8+'E Balans VL '!E8)/100/3.6*1000000</f>
        <v>0</v>
      </c>
      <c r="K12" s="33"/>
      <c r="L12" s="33"/>
      <c r="M12" s="33"/>
      <c r="N12" s="33">
        <f>$C$32*'E Balans VL '!Y8/100/3.6*1000000</f>
        <v>187.78937515727836</v>
      </c>
      <c r="O12" s="33"/>
      <c r="P12" s="33"/>
      <c r="R12" s="32"/>
    </row>
    <row r="13" spans="1:18">
      <c r="A13" s="16" t="s">
        <v>494</v>
      </c>
      <c r="B13" s="247">
        <f ca="1">'lokale energieproductie'!N90+'lokale energieproductie'!N59</f>
        <v>24.75</v>
      </c>
      <c r="C13" s="247">
        <f ca="1">'lokale energieproductie'!O90+'lokale energieproductie'!O59</f>
        <v>35.357142857142861</v>
      </c>
      <c r="D13" s="310">
        <f ca="1">('lokale energieproductie'!P59+'lokale energieproductie'!P90)*(-1)</f>
        <v>-70.714285714285722</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8763.5371100000011</v>
      </c>
      <c r="C16" s="21">
        <f t="shared" ca="1" si="1"/>
        <v>35.357142857142861</v>
      </c>
      <c r="D16" s="21">
        <f t="shared" ca="1" si="1"/>
        <v>10409.683684454209</v>
      </c>
      <c r="E16" s="21">
        <f t="shared" si="1"/>
        <v>94.779140335527927</v>
      </c>
      <c r="F16" s="21">
        <f t="shared" ca="1" si="1"/>
        <v>1295.2422745988615</v>
      </c>
      <c r="G16" s="21">
        <f t="shared" si="1"/>
        <v>0</v>
      </c>
      <c r="H16" s="21">
        <f t="shared" si="1"/>
        <v>0</v>
      </c>
      <c r="I16" s="21">
        <f t="shared" si="1"/>
        <v>0</v>
      </c>
      <c r="J16" s="21">
        <f t="shared" si="1"/>
        <v>0</v>
      </c>
      <c r="K16" s="21">
        <f t="shared" si="1"/>
        <v>0</v>
      </c>
      <c r="L16" s="21">
        <f t="shared" ca="1" si="1"/>
        <v>0</v>
      </c>
      <c r="M16" s="21">
        <f t="shared" si="1"/>
        <v>0</v>
      </c>
      <c r="N16" s="21">
        <f t="shared" ca="1" si="1"/>
        <v>857.8900263037192</v>
      </c>
      <c r="O16" s="21">
        <f>O5</f>
        <v>3.1266666666666669</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0.21045426716456356</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1844.3237802545075</v>
      </c>
      <c r="C20" s="23">
        <f t="shared" ref="C20:P20" ca="1" si="2">C16*C18</f>
        <v>8.4025210084033635</v>
      </c>
      <c r="D20" s="23">
        <f t="shared" ca="1" si="2"/>
        <v>2102.7561042597504</v>
      </c>
      <c r="E20" s="23">
        <f t="shared" si="2"/>
        <v>21.514864856164841</v>
      </c>
      <c r="F20" s="23">
        <f t="shared" ca="1" si="2"/>
        <v>345.82968731789606</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1786.1559999999999</v>
      </c>
      <c r="C26" s="39">
        <f>IF(ISERROR(B26*3.6/1000000/'E Balans VL '!Z12*100),0,B26*3.6/1000000/'E Balans VL '!Z12*100)</f>
        <v>3.9234981543119725E-2</v>
      </c>
      <c r="D26" s="237" t="s">
        <v>692</v>
      </c>
      <c r="F26" s="6"/>
    </row>
    <row r="27" spans="1:18">
      <c r="A27" s="231" t="s">
        <v>53</v>
      </c>
      <c r="B27" s="33">
        <f>IF(ISERROR(TER_horeca_ele_kWh/1000),0,TER_horeca_ele_kWh/1000)</f>
        <v>822.66369999999995</v>
      </c>
      <c r="C27" s="39">
        <f>IF(ISERROR(B27*3.6/1000000/'E Balans VL '!Z9*100),0,B27*3.6/1000000/'E Balans VL '!Z9*100)</f>
        <v>6.6109228703617282E-2</v>
      </c>
      <c r="D27" s="237" t="s">
        <v>692</v>
      </c>
      <c r="F27" s="6"/>
    </row>
    <row r="28" spans="1:18">
      <c r="A28" s="171" t="s">
        <v>52</v>
      </c>
      <c r="B28" s="33">
        <f>IF(ISERROR(TER_handel_ele_kWh/1000),0,TER_handel_ele_kWh/1000)</f>
        <v>2985.8519999999999</v>
      </c>
      <c r="C28" s="39">
        <f>IF(ISERROR(B28*3.6/1000000/'E Balans VL '!Z13*100),0,B28*3.6/1000000/'E Balans VL '!Z13*100)</f>
        <v>8.8289557679994801E-2</v>
      </c>
      <c r="D28" s="237" t="s">
        <v>692</v>
      </c>
      <c r="F28" s="6"/>
    </row>
    <row r="29" spans="1:18">
      <c r="A29" s="231" t="s">
        <v>51</v>
      </c>
      <c r="B29" s="33">
        <f>IF(ISERROR(TER_gezond_ele_kWh/1000),0,TER_gezond_ele_kWh/1000)</f>
        <v>51.612610000000004</v>
      </c>
      <c r="C29" s="39">
        <f>IF(ISERROR(B29*3.6/1000000/'E Balans VL '!Z10*100),0,B29*3.6/1000000/'E Balans VL '!Z10*100)</f>
        <v>5.8154086268717466E-3</v>
      </c>
      <c r="D29" s="237" t="s">
        <v>692</v>
      </c>
      <c r="F29" s="6"/>
    </row>
    <row r="30" spans="1:18">
      <c r="A30" s="231" t="s">
        <v>50</v>
      </c>
      <c r="B30" s="33">
        <f>IF(ISERROR(TER_ander_ele_kWh/1000),0,TER_ander_ele_kWh/1000)</f>
        <v>890.64080000000001</v>
      </c>
      <c r="C30" s="39">
        <f>IF(ISERROR(B30*3.6/1000000/'E Balans VL '!Z14*100),0,B30*3.6/1000000/'E Balans VL '!Z14*100)</f>
        <v>6.7357641222323003E-2</v>
      </c>
      <c r="D30" s="237" t="s">
        <v>692</v>
      </c>
      <c r="F30" s="6"/>
    </row>
    <row r="31" spans="1:18">
      <c r="A31" s="231" t="s">
        <v>55</v>
      </c>
      <c r="B31" s="33">
        <f>IF(ISERROR(TER_onderwijs_ele_kWh/1000),0,TER_onderwijs_ele_kWh/1000)</f>
        <v>0</v>
      </c>
      <c r="C31" s="39">
        <f>IF(ISERROR(B31*3.6/1000000/'E Balans VL '!Z11*100),0,B31*3.6/1000000/'E Balans VL '!Z11*100)</f>
        <v>0</v>
      </c>
      <c r="D31" s="237" t="s">
        <v>692</v>
      </c>
    </row>
    <row r="32" spans="1:18">
      <c r="A32" s="231" t="s">
        <v>260</v>
      </c>
      <c r="B32" s="33">
        <f>IF(ISERROR(TER_rest_ele_kWh/1000),0,TER_rest_ele_kWh/1000)</f>
        <v>2201.8620000000001</v>
      </c>
      <c r="C32" s="39">
        <f>IF(ISERROR(B32*3.6/1000000/'E Balans VL '!Z8*100),0,B32*3.6/1000000/'E Balans VL '!Z8*100)</f>
        <v>1.8549392038450664E-2</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2</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1</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8" sqref="P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163</v>
      </c>
      <c r="B1" s="1138" t="s">
        <v>195</v>
      </c>
      <c r="C1" s="1139"/>
      <c r="D1" s="1139"/>
      <c r="E1" s="1139"/>
      <c r="F1" s="1139"/>
      <c r="G1" s="1139"/>
      <c r="H1" s="1139"/>
      <c r="I1" s="1139"/>
      <c r="J1" s="1139"/>
      <c r="K1" s="1139"/>
      <c r="L1" s="1139"/>
      <c r="M1" s="1139"/>
      <c r="N1" s="1139"/>
      <c r="O1" s="1139"/>
      <c r="P1" s="1139"/>
      <c r="R1" s="826"/>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c r="R2" s="826"/>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4374.1577399999996</v>
      </c>
      <c r="C5" s="17">
        <f>IF(ISERROR('Eigen informatie GS &amp; warmtenet'!B59),0,'Eigen informatie GS &amp; warmtenet'!B59)</f>
        <v>0</v>
      </c>
      <c r="D5" s="30">
        <f>SUM(D6:D15)</f>
        <v>1706.5586452597802</v>
      </c>
      <c r="E5" s="17">
        <f>SUM(E6:E15)</f>
        <v>348.50597615198188</v>
      </c>
      <c r="F5" s="17">
        <f>SUM(F6:F15)</f>
        <v>1833.3878432701667</v>
      </c>
      <c r="G5" s="18"/>
      <c r="H5" s="17"/>
      <c r="I5" s="17"/>
      <c r="J5" s="17">
        <f>SUM(J6:J15)</f>
        <v>21.523142491767956</v>
      </c>
      <c r="K5" s="17"/>
      <c r="L5" s="17"/>
      <c r="M5" s="17"/>
      <c r="N5" s="17">
        <f>SUM(N6:N15)</f>
        <v>1003.5105089574213</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13.05794</v>
      </c>
      <c r="C8" s="33"/>
      <c r="D8" s="37">
        <f>IF( ISERROR(IND_metaal_Gas_kWH/1000),0,IND_metaal_Gas_kWH/1000)*0.902</f>
        <v>0</v>
      </c>
      <c r="E8" s="33">
        <f>C30*'E Balans VL '!I18/100/3.6*1000000</f>
        <v>0.32679453638909739</v>
      </c>
      <c r="F8" s="33">
        <f>C30*'E Balans VL '!L18/100/3.6*1000000+C30*'E Balans VL '!N18/100/3.6*1000000</f>
        <v>4.0924233495339877</v>
      </c>
      <c r="G8" s="34"/>
      <c r="H8" s="33"/>
      <c r="I8" s="33"/>
      <c r="J8" s="40">
        <f>C30*'E Balans VL '!D18/100/3.6*1000000+C30*'E Balans VL '!E18/100/3.6*1000000</f>
        <v>0</v>
      </c>
      <c r="K8" s="33"/>
      <c r="L8" s="33"/>
      <c r="M8" s="33"/>
      <c r="N8" s="33">
        <f>C30*'E Balans VL '!Y18/100/3.6*1000000</f>
        <v>0.32804934110938339</v>
      </c>
      <c r="O8" s="33"/>
      <c r="P8" s="33"/>
      <c r="R8" s="32"/>
    </row>
    <row r="9" spans="1:18">
      <c r="A9" s="6" t="s">
        <v>33</v>
      </c>
      <c r="B9" s="37">
        <f t="shared" si="0"/>
        <v>617.18880000000001</v>
      </c>
      <c r="C9" s="33"/>
      <c r="D9" s="37">
        <f>IF( ISERROR(IND_andere_gas_kWh/1000),0,IND_andere_gas_kWh/1000)*0.902</f>
        <v>429.63730257783874</v>
      </c>
      <c r="E9" s="33">
        <f>C31*'E Balans VL '!I19/100/3.6*1000000</f>
        <v>169.70160596705588</v>
      </c>
      <c r="F9" s="33">
        <f>C31*'E Balans VL '!L19/100/3.6*1000000+C31*'E Balans VL '!N19/100/3.6*1000000</f>
        <v>486.45217296219766</v>
      </c>
      <c r="G9" s="34"/>
      <c r="H9" s="33"/>
      <c r="I9" s="33"/>
      <c r="J9" s="40">
        <f>C31*'E Balans VL '!D19/100/3.6*1000000+C31*'E Balans VL '!E19/100/3.6*1000000</f>
        <v>0</v>
      </c>
      <c r="K9" s="33"/>
      <c r="L9" s="33"/>
      <c r="M9" s="33"/>
      <c r="N9" s="33">
        <f>C31*'E Balans VL '!Y19/100/3.6*1000000</f>
        <v>199.80030561818822</v>
      </c>
      <c r="O9" s="33"/>
      <c r="P9" s="33"/>
      <c r="R9" s="32"/>
    </row>
    <row r="10" spans="1:18">
      <c r="A10" s="6" t="s">
        <v>41</v>
      </c>
      <c r="B10" s="37">
        <f t="shared" si="0"/>
        <v>294.67099999999999</v>
      </c>
      <c r="C10" s="33"/>
      <c r="D10" s="37">
        <f>IF( ISERROR(IND_voed_gas_kWh/1000),0,IND_voed_gas_kWh/1000)*0.902</f>
        <v>86.632482749012425</v>
      </c>
      <c r="E10" s="33">
        <f>C32*'E Balans VL '!I20/100/3.6*1000000</f>
        <v>3.004008509819811</v>
      </c>
      <c r="F10" s="33">
        <f>C32*'E Balans VL '!L20/100/3.6*1000000+C32*'E Balans VL '!N20/100/3.6*1000000</f>
        <v>556.63167601080056</v>
      </c>
      <c r="G10" s="34"/>
      <c r="H10" s="33"/>
      <c r="I10" s="33"/>
      <c r="J10" s="40">
        <f>C32*'E Balans VL '!D20/100/3.6*1000000+C32*'E Balans VL '!E20/100/3.6*1000000</f>
        <v>7.0524411978771706</v>
      </c>
      <c r="K10" s="33"/>
      <c r="L10" s="33"/>
      <c r="M10" s="33"/>
      <c r="N10" s="33">
        <f>C32*'E Balans VL '!Y20/100/3.6*1000000</f>
        <v>155.32555893711861</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3449.24</v>
      </c>
      <c r="C15" s="33"/>
      <c r="D15" s="37">
        <f>IF( ISERROR(IND_rest_gas_kWh/1000),0,IND_rest_gas_kWh/1000)*0.902</f>
        <v>1190.288859932929</v>
      </c>
      <c r="E15" s="33">
        <f>C37*'E Balans VL '!I15/100/3.6*1000000</f>
        <v>175.4735671387171</v>
      </c>
      <c r="F15" s="33">
        <f>C37*'E Balans VL '!L15/100/3.6*1000000+C37*'E Balans VL '!N15/100/3.6*1000000</f>
        <v>786.21157094763453</v>
      </c>
      <c r="G15" s="34"/>
      <c r="H15" s="33"/>
      <c r="I15" s="33"/>
      <c r="J15" s="40">
        <f>C37*'E Balans VL '!D15/100/3.6*1000000+C37*'E Balans VL '!E15/100/3.6*1000000</f>
        <v>14.470701293890784</v>
      </c>
      <c r="K15" s="33"/>
      <c r="L15" s="33"/>
      <c r="M15" s="33"/>
      <c r="N15" s="33">
        <f>C37*'E Balans VL '!Y15/100/3.6*1000000</f>
        <v>648.05659506100505</v>
      </c>
      <c r="O15" s="33"/>
      <c r="P15" s="33"/>
      <c r="R15" s="32"/>
    </row>
    <row r="16" spans="1:18">
      <c r="A16" s="16" t="s">
        <v>494</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4374.1577399999996</v>
      </c>
      <c r="C18" s="21">
        <f>C5+C16</f>
        <v>0</v>
      </c>
      <c r="D18" s="21">
        <f>MAX((D5+D16),0)</f>
        <v>1706.5586452597802</v>
      </c>
      <c r="E18" s="21">
        <f>MAX((E5+E16),0)</f>
        <v>348.50597615198188</v>
      </c>
      <c r="F18" s="21">
        <f>MAX((F5+F16),0)</f>
        <v>1833.3878432701667</v>
      </c>
      <c r="G18" s="21"/>
      <c r="H18" s="21"/>
      <c r="I18" s="21"/>
      <c r="J18" s="21">
        <f>MAX((J5+J16),0)</f>
        <v>21.523142491767956</v>
      </c>
      <c r="K18" s="21"/>
      <c r="L18" s="21">
        <f>MAX((L5+L16),0)</f>
        <v>0</v>
      </c>
      <c r="M18" s="21"/>
      <c r="N18" s="21">
        <f>MAX((N5+N16),0)</f>
        <v>1003.5105089574213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0.21045426716456356</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920.56016163390348</v>
      </c>
      <c r="C22" s="23">
        <f ca="1">C18*C20</f>
        <v>0</v>
      </c>
      <c r="D22" s="23">
        <f>D18*D20</f>
        <v>344.72484634247564</v>
      </c>
      <c r="E22" s="23">
        <f>E18*E20</f>
        <v>79.110856586499892</v>
      </c>
      <c r="F22" s="23">
        <f>F18*F20</f>
        <v>489.51455415313455</v>
      </c>
      <c r="G22" s="23"/>
      <c r="H22" s="23"/>
      <c r="I22" s="23"/>
      <c r="J22" s="23">
        <f>J18*J20</f>
        <v>7.6191924420858559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13.05794</v>
      </c>
      <c r="C30" s="39">
        <f>IF(ISERROR(B30*3.6/1000000/'E Balans VL '!Z18*100),0,B30*3.6/1000000/'E Balans VL '!Z18*100)</f>
        <v>1.8276764393421474E-3</v>
      </c>
      <c r="D30" s="237" t="s">
        <v>692</v>
      </c>
    </row>
    <row r="31" spans="1:18">
      <c r="A31" s="6" t="s">
        <v>33</v>
      </c>
      <c r="B31" s="37">
        <f>IF( ISERROR(IND_ander_ele_kWh/1000),0,IND_ander_ele_kWh/1000)</f>
        <v>617.18880000000001</v>
      </c>
      <c r="C31" s="39">
        <f>IF(ISERROR(B31*3.6/1000000/'E Balans VL '!Z19*100),0,B31*3.6/1000000/'E Balans VL '!Z19*100)</f>
        <v>2.7014253653751836E-2</v>
      </c>
      <c r="D31" s="237" t="s">
        <v>692</v>
      </c>
    </row>
    <row r="32" spans="1:18">
      <c r="A32" s="171" t="s">
        <v>41</v>
      </c>
      <c r="B32" s="37">
        <f>IF( ISERROR(IND_voed_ele_kWh/1000),0,IND_voed_ele_kWh/1000)</f>
        <v>294.67099999999999</v>
      </c>
      <c r="C32" s="39">
        <f>IF(ISERROR(B32*3.6/1000000/'E Balans VL '!Z20*100),0,B32*3.6/1000000/'E Balans VL '!Z20*100)</f>
        <v>7.2950754058766512E-2</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0</v>
      </c>
      <c r="C35" s="39">
        <f>IF(ISERROR(B35*3.6/1000000/'E Balans VL '!Z22*100),0,B35*3.6/1000000/'E Balans VL '!Z22*100)</f>
        <v>0</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3449.24</v>
      </c>
      <c r="C37" s="39">
        <f>IF(ISERROR(B37*3.6/1000000/'E Balans VL '!Z15*100),0,B37*3.6/1000000/'E Balans VL '!Z15*100)</f>
        <v>2.5575524065122663E-2</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271</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975.46069999999997</v>
      </c>
      <c r="C5" s="17">
        <f>'Eigen informatie GS &amp; warmtenet'!B60</f>
        <v>0</v>
      </c>
      <c r="D5" s="30">
        <f>IF(ISERROR(SUM(LB_lb_gas_kWh,LB_rest_gas_kWh,onbekend_gas_kWh)/1000),0,SUM(LB_lb_gas_kWh,LB_rest_gas_kWh,onbekend_gas_kWh)/1000)*0.902</f>
        <v>27236.505814717704</v>
      </c>
      <c r="E5" s="17">
        <f>B17*'E Balans VL '!I25/3.6*1000000/100</f>
        <v>9.0351255638968251</v>
      </c>
      <c r="F5" s="17">
        <f>B17*('E Balans VL '!L25/3.6*1000000+'E Balans VL '!N25/3.6*1000000)/100</f>
        <v>2474.9296209726526</v>
      </c>
      <c r="G5" s="18"/>
      <c r="H5" s="17"/>
      <c r="I5" s="17"/>
      <c r="J5" s="17">
        <f>('E Balans VL '!D25+'E Balans VL '!E25)/3.6*1000000*landbouw!B17/100</f>
        <v>149.54901148318433</v>
      </c>
      <c r="K5" s="17"/>
      <c r="L5" s="17">
        <f>L6*(-1)</f>
        <v>0</v>
      </c>
      <c r="M5" s="17"/>
      <c r="N5" s="17">
        <f>N6*(-1)</f>
        <v>0</v>
      </c>
      <c r="O5" s="17"/>
      <c r="P5" s="17"/>
      <c r="R5" s="32"/>
    </row>
    <row r="6" spans="1:18">
      <c r="A6" s="16" t="s">
        <v>494</v>
      </c>
      <c r="B6" s="17" t="s">
        <v>211</v>
      </c>
      <c r="C6" s="17">
        <f>'lokale energieproductie'!O91+'lokale energieproductie'!O60</f>
        <v>12947.142857142855</v>
      </c>
      <c r="D6" s="310">
        <f>('lokale energieproductie'!P60+'lokale energieproductie'!P91)*(-1)</f>
        <v>-25894.28571428571</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975.46069999999997</v>
      </c>
      <c r="C8" s="21">
        <f>C5+C6</f>
        <v>12947.142857142855</v>
      </c>
      <c r="D8" s="21">
        <f>MAX((D5+D6),0)</f>
        <v>1342.2201004319941</v>
      </c>
      <c r="E8" s="21">
        <f>MAX((E5+E6),0)</f>
        <v>9.0351255638968251</v>
      </c>
      <c r="F8" s="21">
        <f>MAX((F5+F6),0)</f>
        <v>2474.9296209726526</v>
      </c>
      <c r="G8" s="21"/>
      <c r="H8" s="21"/>
      <c r="I8" s="21"/>
      <c r="J8" s="21">
        <f>MAX((J5+J6),0)</f>
        <v>149.54901148318433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0.21045426716456356</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205.28986676633218</v>
      </c>
      <c r="C12" s="23">
        <f ca="1">C8*C10</f>
        <v>3076.8504201680671</v>
      </c>
      <c r="D12" s="23">
        <f>D8*D10</f>
        <v>271.12846028726284</v>
      </c>
      <c r="E12" s="23">
        <f>E8*E10</f>
        <v>2.0509735030045793</v>
      </c>
      <c r="F12" s="23">
        <f>F8*F10</f>
        <v>660.80620879969831</v>
      </c>
      <c r="G12" s="23"/>
      <c r="H12" s="23"/>
      <c r="I12" s="23"/>
      <c r="J12" s="23">
        <f>J8*J10</f>
        <v>52.940350065047248</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0.13868982819806358</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145" t="s">
        <v>303</v>
      </c>
      <c r="B22" s="1148" t="s">
        <v>304</v>
      </c>
      <c r="C22" s="1148" t="s">
        <v>499</v>
      </c>
    </row>
    <row r="23" spans="1:4">
      <c r="A23" s="1146"/>
      <c r="B23" s="1149"/>
      <c r="C23" s="1149"/>
    </row>
    <row r="24" spans="1:4" ht="15.75" thickBot="1">
      <c r="A24" s="1147"/>
      <c r="B24" s="1150"/>
      <c r="C24" s="1150"/>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223.02912693895075</v>
      </c>
      <c r="C26" s="247">
        <f>B26*'GWP N2O_CH4'!B5</f>
        <v>4683.6116657179655</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94.627090890634634</v>
      </c>
      <c r="C27" s="247">
        <f>B27*'GWP N2O_CH4'!B5</f>
        <v>1987.1689087033274</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2.5853243063319655</v>
      </c>
      <c r="C28" s="247">
        <f>B28*'GWP N2O_CH4'!B4</f>
        <v>801.45053496290927</v>
      </c>
      <c r="D28" s="50"/>
    </row>
    <row r="29" spans="1:4">
      <c r="A29" s="41" t="s">
        <v>277</v>
      </c>
      <c r="B29" s="247">
        <f>B34*'ha_N2O bodem landbouw'!B4</f>
        <v>7.9636039385500217</v>
      </c>
      <c r="C29" s="247">
        <f>B29*'GWP N2O_CH4'!B4</f>
        <v>2468.7172209505065</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1.7860960661345497E-3</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5" zoomScale="70" zoomScaleNormal="70" workbookViewId="0">
      <selection activeCell="H14" sqref="H14"/>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37" t="s">
        <v>503</v>
      </c>
      <c r="B1" s="1138" t="s">
        <v>556</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2.5918556704216503E-5</v>
      </c>
      <c r="C5" s="464" t="s">
        <v>211</v>
      </c>
      <c r="D5" s="449">
        <f>SUM(D6:D11)</f>
        <v>6.7419392732598462E-5</v>
      </c>
      <c r="E5" s="449">
        <f>SUM(E6:E11)</f>
        <v>4.3075507061140166E-4</v>
      </c>
      <c r="F5" s="462" t="s">
        <v>211</v>
      </c>
      <c r="G5" s="449">
        <f>SUM(G6:G11)</f>
        <v>0.1115712505911514</v>
      </c>
      <c r="H5" s="449">
        <f>SUM(H6:H11)</f>
        <v>2.5502140844819079E-2</v>
      </c>
      <c r="I5" s="464" t="s">
        <v>211</v>
      </c>
      <c r="J5" s="464" t="s">
        <v>211</v>
      </c>
      <c r="K5" s="464" t="s">
        <v>211</v>
      </c>
      <c r="L5" s="464" t="s">
        <v>211</v>
      </c>
      <c r="M5" s="449">
        <f>SUM(M6:M11)</f>
        <v>7.2389467942521853E-3</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2.1629307176416067E-5</v>
      </c>
      <c r="C6" s="450"/>
      <c r="D6" s="963">
        <f>vkm_2011_GW_PW*SUMIFS(TableVerdeelsleutelVkm[CNG],TableVerdeelsleutelVkm[Voertuigtype],"Lichte voertuigen")*SUMIFS(TableECFTransport[EnergieConsumptieFactor (PJ per km)],TableECFTransport[Index],CONCATENATE($A6,"_CNG_CNG"))</f>
        <v>5.0030968787126368E-5</v>
      </c>
      <c r="E6" s="963">
        <f>vkm_2011_GW_PW*SUMIFS(TableVerdeelsleutelVkm[LPG],TableVerdeelsleutelVkm[Voertuigtype],"Lichte voertuigen")*SUMIFS(TableECFTransport[EnergieConsumptieFactor (PJ per km)],TableECFTransport[Index],CONCATENATE($A6,"_LPG_LPG"))</f>
        <v>3.2577145588599923E-4</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6.7676609815156177E-2</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1.9076637727964921E-2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4.5020438245690006E-3</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1.8406741836831404E-2</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6.2947714261929615E-6</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1.064934349408251E-3</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4.193313269104644E-6</v>
      </c>
      <c r="C8" s="450"/>
      <c r="D8" s="452">
        <f>vkm_2011_NGW_PW*SUMIFS(TableVerdeelsleutelVkm[CNG],TableVerdeelsleutelVkm[Voertuigtype],"Lichte voertuigen")*SUMIFS(TableECFTransport[EnergieConsumptieFactor (PJ per km)],TableECFTransport[Index],CONCATENATE($A8,"_CNG_CNG"))</f>
        <v>1.7155749360064578E-5</v>
      </c>
      <c r="E8" s="452">
        <f>vkm_2011_NGW_PW*SUMIFS(TableVerdeelsleutelVkm[LPG],TableVerdeelsleutelVkm[Voertuigtype],"Lichte voertuigen")*SUMIFS(TableECFTransport[EnergieConsumptieFactor (PJ per km)],TableECFTransport[Index],CONCATENATE($A8,"_LPG_LPG"))</f>
        <v>1.0309475116649772E-4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2.0020849223692308E-2</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6.3250999032867031E-3</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1.3528292021553602E-3</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4.6685947264044937E-3</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1.5107028704764194E-6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2.7010202412732908E-4</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9.5936258695792808E-8</v>
      </c>
      <c r="C10" s="450"/>
      <c r="D10" s="452">
        <f>vkm_2011_SW_PW*SUMIFS(TableVerdeelsleutelVkm[CNG],TableVerdeelsleutelVkm[Voertuigtype],"Lichte voertuigen")*SUMIFS(TableECFTransport[EnergieConsumptieFactor (PJ per km)],TableECFTransport[Index],CONCATENATE($A10,"_CNG_CNG"))</f>
        <v>2.3267458540751805E-7</v>
      </c>
      <c r="E10" s="452">
        <f>vkm_2011_SW_PW*SUMIFS(TableVerdeelsleutelVkm[LPG],TableVerdeelsleutelVkm[Voertuigtype],"Lichte voertuigen")*SUMIFS(TableECFTransport[EnergieConsumptieFactor (PJ per km)],TableECFTransport[Index],CONCATENATE($A10,"_LPG_LPG"))</f>
        <v>1.8888635589046873E-6</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3.5327171948160542E-4</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9.2433661517643466E-5</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2.3280654145553142E-5</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4.4518326958542845E-4</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1.6407775314183643E-7</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2.5756739846692013E-5</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7.1995990845045839</v>
      </c>
      <c r="C14" s="21"/>
      <c r="D14" s="21">
        <f t="shared" ref="D14:M14" si="0">((D5)*10^9/3600)+D12</f>
        <v>18.727609092388462</v>
      </c>
      <c r="E14" s="21">
        <f t="shared" si="0"/>
        <v>119.6541862809449</v>
      </c>
      <c r="F14" s="21"/>
      <c r="G14" s="21">
        <f t="shared" si="0"/>
        <v>30992.014053097613</v>
      </c>
      <c r="H14" s="21">
        <f t="shared" si="0"/>
        <v>7083.9280124497445</v>
      </c>
      <c r="I14" s="21"/>
      <c r="J14" s="21"/>
      <c r="K14" s="21"/>
      <c r="L14" s="21"/>
      <c r="M14" s="21">
        <f t="shared" si="0"/>
        <v>2010.8185539589404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0.21045426716456356</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1.5151863492080748</v>
      </c>
      <c r="C18" s="23"/>
      <c r="D18" s="23">
        <f t="shared" ref="D18:M18" si="1">D14*D16</f>
        <v>3.7829770366624698</v>
      </c>
      <c r="E18" s="23">
        <f t="shared" si="1"/>
        <v>27.161500285774494</v>
      </c>
      <c r="F18" s="23"/>
      <c r="G18" s="23">
        <f t="shared" si="1"/>
        <v>8274.8677521770624</v>
      </c>
      <c r="H18" s="23">
        <f t="shared" si="1"/>
        <v>1763.8980750999863</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51" t="s">
        <v>504</v>
      </c>
      <c r="B46" s="1152" t="s">
        <v>555</v>
      </c>
      <c r="C46" s="1153"/>
      <c r="D46" s="1153"/>
      <c r="E46" s="1153"/>
      <c r="F46" s="1153"/>
      <c r="G46" s="1153"/>
      <c r="H46" s="1153"/>
      <c r="I46" s="1153"/>
      <c r="J46" s="1153"/>
      <c r="K46" s="1153"/>
      <c r="L46" s="1153"/>
      <c r="M46" s="1153"/>
      <c r="N46" s="1153"/>
      <c r="O46" s="1153"/>
      <c r="P46" s="1153"/>
    </row>
    <row r="47" spans="1:16" s="15" customFormat="1" ht="15.75" thickTop="1">
      <c r="A47" s="1151"/>
      <c r="B47" s="1154" t="s">
        <v>21</v>
      </c>
      <c r="C47" s="1154" t="s">
        <v>196</v>
      </c>
      <c r="D47" s="1156" t="s">
        <v>197</v>
      </c>
      <c r="E47" s="1157"/>
      <c r="F47" s="1157"/>
      <c r="G47" s="1157"/>
      <c r="H47" s="1157"/>
      <c r="I47" s="1157"/>
      <c r="J47" s="1157"/>
      <c r="K47" s="1158"/>
      <c r="L47" s="1156" t="s">
        <v>198</v>
      </c>
      <c r="M47" s="1157"/>
      <c r="N47" s="1157"/>
      <c r="O47" s="1157"/>
      <c r="P47" s="1158"/>
    </row>
    <row r="48" spans="1:16" s="15" customFormat="1" ht="45">
      <c r="A48" s="1151"/>
      <c r="B48" s="1155"/>
      <c r="C48" s="1155"/>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1.6044760528674616E-3</v>
      </c>
      <c r="H50" s="321">
        <f t="shared" si="2"/>
        <v>0</v>
      </c>
      <c r="I50" s="321">
        <f t="shared" si="2"/>
        <v>0</v>
      </c>
      <c r="J50" s="321">
        <f t="shared" si="2"/>
        <v>0</v>
      </c>
      <c r="K50" s="321">
        <f t="shared" si="2"/>
        <v>0</v>
      </c>
      <c r="L50" s="321">
        <f t="shared" si="2"/>
        <v>0</v>
      </c>
      <c r="M50" s="321">
        <f t="shared" si="2"/>
        <v>9.1498591994670635E-5</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1.6044760528674616E-3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9.1498591994670635E-5</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445.68779246318371</v>
      </c>
      <c r="H54" s="21">
        <f t="shared" si="3"/>
        <v>0</v>
      </c>
      <c r="I54" s="21">
        <f t="shared" si="3"/>
        <v>0</v>
      </c>
      <c r="J54" s="21">
        <f t="shared" si="3"/>
        <v>0</v>
      </c>
      <c r="K54" s="21">
        <f t="shared" si="3"/>
        <v>0</v>
      </c>
      <c r="L54" s="21">
        <f t="shared" si="3"/>
        <v>0</v>
      </c>
      <c r="M54" s="21">
        <f t="shared" si="3"/>
        <v>25.416275554075177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0.21045426716456356</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118.99864058767005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183" t="s">
        <v>241</v>
      </c>
      <c r="B1" s="1183" t="s">
        <v>242</v>
      </c>
      <c r="C1" s="1186" t="s">
        <v>243</v>
      </c>
      <c r="D1" s="1187"/>
      <c r="E1" s="1187"/>
      <c r="F1" s="1187"/>
      <c r="G1" s="1187"/>
      <c r="H1" s="1187"/>
      <c r="I1" s="1187"/>
      <c r="J1" s="1187"/>
      <c r="K1" s="1187"/>
      <c r="L1" s="1188"/>
      <c r="M1" s="1172" t="s">
        <v>244</v>
      </c>
      <c r="N1" s="1171" t="s">
        <v>557</v>
      </c>
      <c r="O1" s="1172"/>
      <c r="Q1" s="1170"/>
      <c r="R1" s="1170"/>
      <c r="S1" s="1170"/>
    </row>
    <row r="2" spans="1:19" s="564" customFormat="1" ht="15.75" thickBot="1">
      <c r="A2" s="1184"/>
      <c r="B2" s="1184"/>
      <c r="C2" s="1207" t="s">
        <v>197</v>
      </c>
      <c r="D2" s="1208"/>
      <c r="E2" s="1208"/>
      <c r="F2" s="1208"/>
      <c r="G2" s="1209"/>
      <c r="H2" s="1210" t="s">
        <v>245</v>
      </c>
      <c r="I2" s="1196" t="s">
        <v>246</v>
      </c>
      <c r="J2" s="1196" t="s">
        <v>234</v>
      </c>
      <c r="K2" s="1196" t="s">
        <v>247</v>
      </c>
      <c r="L2" s="1198" t="s">
        <v>127</v>
      </c>
      <c r="M2" s="1174"/>
      <c r="N2" s="1173"/>
      <c r="O2" s="1174"/>
      <c r="Q2" s="1170"/>
      <c r="R2" s="1170"/>
      <c r="S2" s="1170"/>
    </row>
    <row r="3" spans="1:19" s="564" customFormat="1" ht="53.45" customHeight="1" thickBot="1">
      <c r="A3" s="1185"/>
      <c r="B3" s="1175"/>
      <c r="C3" s="565" t="s">
        <v>199</v>
      </c>
      <c r="D3" s="566" t="s">
        <v>200</v>
      </c>
      <c r="E3" s="567" t="s">
        <v>201</v>
      </c>
      <c r="F3" s="568" t="s">
        <v>203</v>
      </c>
      <c r="G3" s="569" t="s">
        <v>204</v>
      </c>
      <c r="H3" s="1193"/>
      <c r="I3" s="1197"/>
      <c r="J3" s="1197"/>
      <c r="K3" s="1197"/>
      <c r="L3" s="1206"/>
      <c r="M3" s="1176"/>
      <c r="N3" s="1175"/>
      <c r="O3" s="1176"/>
      <c r="Q3" s="1170"/>
      <c r="R3" s="1170"/>
      <c r="S3" s="1170"/>
    </row>
    <row r="4" spans="1:19" s="564" customFormat="1" ht="15.75" thickTop="1">
      <c r="A4" s="570" t="s">
        <v>249</v>
      </c>
      <c r="B4" s="571">
        <f>IF(ISERROR(kWh_wind_land),0,kWh_wind_land)</f>
        <v>0</v>
      </c>
      <c r="C4" s="1214"/>
      <c r="D4" s="1202"/>
      <c r="E4" s="1202"/>
      <c r="F4" s="1217"/>
      <c r="G4" s="1220"/>
      <c r="H4" s="1211"/>
      <c r="I4" s="1202"/>
      <c r="J4" s="1202"/>
      <c r="K4" s="572"/>
      <c r="L4" s="1203"/>
      <c r="M4" s="573"/>
      <c r="N4" s="1177"/>
      <c r="O4" s="1178"/>
      <c r="Q4" s="574"/>
      <c r="R4" s="1167"/>
      <c r="S4" s="1167"/>
    </row>
    <row r="5" spans="1:19" s="564" customFormat="1">
      <c r="A5" s="575" t="s">
        <v>250</v>
      </c>
      <c r="B5" s="571">
        <f>IF(ISERROR(kWh_waterkracht),0,kWh_waterkracht)</f>
        <v>0</v>
      </c>
      <c r="C5" s="1215"/>
      <c r="D5" s="1200"/>
      <c r="E5" s="1200"/>
      <c r="F5" s="1218"/>
      <c r="G5" s="1221"/>
      <c r="H5" s="1212"/>
      <c r="I5" s="1200"/>
      <c r="J5" s="1200"/>
      <c r="K5" s="1200"/>
      <c r="L5" s="1204"/>
      <c r="M5" s="576"/>
      <c r="N5" s="1179"/>
      <c r="O5" s="1180"/>
      <c r="Q5" s="574"/>
      <c r="R5" s="1167"/>
      <c r="S5" s="1167"/>
    </row>
    <row r="6" spans="1:19" s="564" customFormat="1">
      <c r="A6" s="575" t="s">
        <v>251</v>
      </c>
      <c r="B6" s="571">
        <f>IF(ISERROR((kWh_PV_kleiner_dan_10kW+kWh_PV_groter_dan_10kW)),0,(kWh_PV_kleiner_dan_10kW+kWh_PV_groter_dan_10kW))</f>
        <v>2085.8482397418629</v>
      </c>
      <c r="C6" s="1216"/>
      <c r="D6" s="1201"/>
      <c r="E6" s="1201"/>
      <c r="F6" s="1219"/>
      <c r="G6" s="1222"/>
      <c r="H6" s="1213"/>
      <c r="I6" s="1201"/>
      <c r="J6" s="1201"/>
      <c r="K6" s="1201"/>
      <c r="L6" s="1205"/>
      <c r="M6" s="576"/>
      <c r="N6" s="1179"/>
      <c r="O6" s="1180"/>
      <c r="Q6" s="574"/>
      <c r="R6" s="1167"/>
      <c r="S6" s="1167"/>
    </row>
    <row r="7" spans="1:19" s="564" customFormat="1">
      <c r="A7" s="577" t="s">
        <v>252</v>
      </c>
      <c r="B7" s="578">
        <f>N57</f>
        <v>9087.7499999999982</v>
      </c>
      <c r="C7" s="579">
        <f>B100</f>
        <v>10691.470588235292</v>
      </c>
      <c r="D7" s="580"/>
      <c r="E7" s="580">
        <f>E100</f>
        <v>0</v>
      </c>
      <c r="F7" s="581"/>
      <c r="G7" s="582"/>
      <c r="H7" s="580">
        <f>I100</f>
        <v>0</v>
      </c>
      <c r="I7" s="580">
        <f>G100+F100</f>
        <v>0</v>
      </c>
      <c r="J7" s="580">
        <f>H100+D100+C100</f>
        <v>0</v>
      </c>
      <c r="K7" s="580"/>
      <c r="L7" s="583"/>
      <c r="M7" s="584">
        <f>C7*$C$11+D7*$D$11+E7*$E$11+F7*$F$11+G7*$G$11+H7*$H$11+I7*$I$11+J7*$J$11</f>
        <v>2159.677058823529</v>
      </c>
      <c r="N7" s="1179"/>
      <c r="O7" s="1180"/>
      <c r="Q7" s="574"/>
      <c r="R7" s="1167"/>
      <c r="S7" s="1167"/>
    </row>
    <row r="8" spans="1:19" s="564" customFormat="1" ht="17.45" customHeight="1" thickBot="1">
      <c r="A8" s="585" t="s">
        <v>248</v>
      </c>
      <c r="B8" s="586">
        <f>N88+'Eigen informatie GS &amp; warmtenet'!B12</f>
        <v>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181"/>
      <c r="O8" s="1182"/>
      <c r="P8" s="592"/>
      <c r="Q8" s="574"/>
      <c r="R8" s="1167"/>
      <c r="S8" s="1167"/>
    </row>
    <row r="9" spans="1:19" s="564" customFormat="1" ht="16.5" thickTop="1" thickBot="1">
      <c r="A9" s="593" t="s">
        <v>116</v>
      </c>
      <c r="B9" s="594">
        <f>SUM(B4:B8)</f>
        <v>11173.598239741861</v>
      </c>
      <c r="C9" s="595">
        <f t="shared" ref="C9:L9" si="0">SUM(C7:C8)</f>
        <v>10691.470588235292</v>
      </c>
      <c r="D9" s="595">
        <f t="shared" si="0"/>
        <v>0</v>
      </c>
      <c r="E9" s="595">
        <f t="shared" si="0"/>
        <v>0</v>
      </c>
      <c r="F9" s="595">
        <f t="shared" si="0"/>
        <v>0</v>
      </c>
      <c r="G9" s="595">
        <f t="shared" si="0"/>
        <v>0</v>
      </c>
      <c r="H9" s="595">
        <f t="shared" si="0"/>
        <v>0</v>
      </c>
      <c r="I9" s="595">
        <f t="shared" si="0"/>
        <v>0</v>
      </c>
      <c r="J9" s="595">
        <f t="shared" si="0"/>
        <v>0</v>
      </c>
      <c r="K9" s="595">
        <f t="shared" si="0"/>
        <v>0</v>
      </c>
      <c r="L9" s="595">
        <f t="shared" si="0"/>
        <v>0</v>
      </c>
      <c r="M9" s="596">
        <f>SUM(M4:M8)</f>
        <v>2159.677058823529</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183" t="s">
        <v>253</v>
      </c>
      <c r="B13" s="1183" t="s">
        <v>254</v>
      </c>
      <c r="C13" s="1186" t="s">
        <v>255</v>
      </c>
      <c r="D13" s="1187"/>
      <c r="E13" s="1187"/>
      <c r="F13" s="1187"/>
      <c r="G13" s="1187"/>
      <c r="H13" s="1187"/>
      <c r="I13" s="1187"/>
      <c r="J13" s="1187"/>
      <c r="K13" s="1187"/>
      <c r="L13" s="1188"/>
      <c r="M13" s="1172" t="s">
        <v>244</v>
      </c>
      <c r="N13" s="1171" t="s">
        <v>256</v>
      </c>
      <c r="O13" s="1172"/>
      <c r="P13" s="1170"/>
      <c r="Q13" s="1170"/>
      <c r="R13" s="1170"/>
    </row>
    <row r="14" spans="1:19" s="564" customFormat="1" ht="15.75" thickBot="1">
      <c r="A14" s="1184"/>
      <c r="B14" s="1184"/>
      <c r="C14" s="1189" t="s">
        <v>197</v>
      </c>
      <c r="D14" s="1190"/>
      <c r="E14" s="1190"/>
      <c r="F14" s="1190"/>
      <c r="G14" s="1191"/>
      <c r="H14" s="1192" t="s">
        <v>245</v>
      </c>
      <c r="I14" s="1192" t="s">
        <v>246</v>
      </c>
      <c r="J14" s="1194" t="s">
        <v>234</v>
      </c>
      <c r="K14" s="1196" t="s">
        <v>257</v>
      </c>
      <c r="L14" s="1198" t="s">
        <v>127</v>
      </c>
      <c r="M14" s="1174"/>
      <c r="N14" s="1173"/>
      <c r="O14" s="1174"/>
      <c r="P14" s="1170"/>
      <c r="Q14" s="1170"/>
      <c r="R14" s="1170"/>
    </row>
    <row r="15" spans="1:19" s="564" customFormat="1" ht="40.700000000000003" customHeight="1" thickBot="1">
      <c r="A15" s="1185"/>
      <c r="B15" s="1185"/>
      <c r="C15" s="606" t="s">
        <v>199</v>
      </c>
      <c r="D15" s="566" t="s">
        <v>200</v>
      </c>
      <c r="E15" s="607" t="s">
        <v>201</v>
      </c>
      <c r="F15" s="566" t="s">
        <v>203</v>
      </c>
      <c r="G15" s="608" t="s">
        <v>204</v>
      </c>
      <c r="H15" s="1193"/>
      <c r="I15" s="1193"/>
      <c r="J15" s="1195"/>
      <c r="K15" s="1197"/>
      <c r="L15" s="1199"/>
      <c r="M15" s="1176"/>
      <c r="N15" s="1175"/>
      <c r="O15" s="1176"/>
      <c r="P15" s="1170"/>
      <c r="Q15" s="1170"/>
      <c r="R15" s="1170"/>
    </row>
    <row r="16" spans="1:19" s="564" customFormat="1" ht="15.75" thickTop="1">
      <c r="A16" s="609" t="s">
        <v>252</v>
      </c>
      <c r="B16" s="610">
        <f>O57</f>
        <v>12982.499999999998</v>
      </c>
      <c r="C16" s="611">
        <f>B101</f>
        <v>15273.529411764704</v>
      </c>
      <c r="D16" s="612"/>
      <c r="E16" s="612">
        <f>E101</f>
        <v>0</v>
      </c>
      <c r="F16" s="613"/>
      <c r="G16" s="614"/>
      <c r="H16" s="611">
        <f>I101</f>
        <v>0</v>
      </c>
      <c r="I16" s="612">
        <f>G101+F101</f>
        <v>0</v>
      </c>
      <c r="J16" s="612">
        <f>H101+D101+C101</f>
        <v>0</v>
      </c>
      <c r="K16" s="612"/>
      <c r="L16" s="615"/>
      <c r="M16" s="616">
        <f>C16*$C$21+E16*$E$21+H16*$H$21+I16*$I$21+J16*$J$21+D16*$D$21+F16*$F$21+G16*$G$21+K16*$K$21+L16*$L$21</f>
        <v>3085.2529411764704</v>
      </c>
      <c r="N16" s="1162"/>
      <c r="O16" s="1163"/>
      <c r="P16" s="617"/>
      <c r="Q16" s="1164"/>
      <c r="R16" s="1164"/>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165"/>
      <c r="O17" s="1166"/>
      <c r="P17" s="574"/>
      <c r="Q17" s="1167"/>
      <c r="R17" s="1167"/>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168"/>
      <c r="O18" s="1169"/>
      <c r="P18" s="574"/>
      <c r="Q18" s="1167"/>
      <c r="R18" s="1167"/>
    </row>
    <row r="19" spans="1:26" s="564" customFormat="1" ht="16.5" thickTop="1" thickBot="1">
      <c r="A19" s="593" t="s">
        <v>116</v>
      </c>
      <c r="B19" s="594">
        <f>SUM(B16:B18)</f>
        <v>12982.499999999998</v>
      </c>
      <c r="C19" s="594">
        <f>SUM(C16:C18)</f>
        <v>15273.529411764704</v>
      </c>
      <c r="D19" s="594">
        <f t="shared" ref="D19:M19" si="1">SUM(D16:D18)</f>
        <v>0</v>
      </c>
      <c r="E19" s="594">
        <f t="shared" si="1"/>
        <v>0</v>
      </c>
      <c r="F19" s="594">
        <f t="shared" si="1"/>
        <v>0</v>
      </c>
      <c r="G19" s="594">
        <f t="shared" si="1"/>
        <v>0</v>
      </c>
      <c r="H19" s="594">
        <f t="shared" si="1"/>
        <v>0</v>
      </c>
      <c r="I19" s="594">
        <f t="shared" si="1"/>
        <v>0</v>
      </c>
      <c r="J19" s="594">
        <f t="shared" si="1"/>
        <v>0</v>
      </c>
      <c r="K19" s="594">
        <f t="shared" si="1"/>
        <v>0</v>
      </c>
      <c r="L19" s="594">
        <f t="shared" si="1"/>
        <v>0</v>
      </c>
      <c r="M19" s="621">
        <f t="shared" si="1"/>
        <v>3085.2529411764704</v>
      </c>
      <c r="N19" s="1159"/>
      <c r="O19" s="1160"/>
      <c r="P19" s="574"/>
      <c r="Q19" s="1161"/>
      <c r="R19" s="1161"/>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63.75">
      <c r="A27" s="625"/>
      <c r="B27" s="852">
        <v>13012</v>
      </c>
      <c r="C27" s="852">
        <v>2270</v>
      </c>
      <c r="D27" s="673" t="s">
        <v>834</v>
      </c>
      <c r="E27" s="672" t="s">
        <v>835</v>
      </c>
      <c r="F27" s="672" t="s">
        <v>836</v>
      </c>
      <c r="G27" s="672" t="s">
        <v>837</v>
      </c>
      <c r="H27" s="672" t="s">
        <v>838</v>
      </c>
      <c r="I27" s="672" t="s">
        <v>839</v>
      </c>
      <c r="J27" s="851">
        <v>36797</v>
      </c>
      <c r="K27" s="851">
        <v>39356</v>
      </c>
      <c r="L27" s="672" t="s">
        <v>840</v>
      </c>
      <c r="M27" s="672">
        <v>5.5</v>
      </c>
      <c r="N27" s="672">
        <v>24.75</v>
      </c>
      <c r="O27" s="672">
        <v>35.357142857142861</v>
      </c>
      <c r="P27" s="672">
        <v>70.714285714285722</v>
      </c>
      <c r="Q27" s="672">
        <v>0</v>
      </c>
      <c r="R27" s="672">
        <v>0</v>
      </c>
      <c r="S27" s="672">
        <v>0</v>
      </c>
      <c r="T27" s="672">
        <v>0</v>
      </c>
      <c r="U27" s="672">
        <v>0</v>
      </c>
      <c r="V27" s="672">
        <v>0</v>
      </c>
      <c r="W27" s="672">
        <v>0</v>
      </c>
      <c r="X27" s="672">
        <v>1600</v>
      </c>
      <c r="Y27" s="672" t="s">
        <v>50</v>
      </c>
      <c r="Z27" s="674" t="s">
        <v>156</v>
      </c>
    </row>
    <row r="28" spans="1:26" s="626" customFormat="1" ht="25.5">
      <c r="A28" s="625"/>
      <c r="B28" s="852">
        <v>13012</v>
      </c>
      <c r="C28" s="852">
        <v>2270</v>
      </c>
      <c r="D28" s="673" t="s">
        <v>841</v>
      </c>
      <c r="E28" s="672" t="s">
        <v>842</v>
      </c>
      <c r="F28" s="672" t="s">
        <v>843</v>
      </c>
      <c r="G28" s="672" t="s">
        <v>837</v>
      </c>
      <c r="H28" s="672" t="s">
        <v>838</v>
      </c>
      <c r="I28" s="672" t="s">
        <v>842</v>
      </c>
      <c r="J28" s="851">
        <v>39989</v>
      </c>
      <c r="K28" s="851">
        <v>40014</v>
      </c>
      <c r="L28" s="672" t="s">
        <v>840</v>
      </c>
      <c r="M28" s="672">
        <v>2014</v>
      </c>
      <c r="N28" s="672">
        <v>9062.9999999999982</v>
      </c>
      <c r="O28" s="672">
        <v>12947.142857142855</v>
      </c>
      <c r="P28" s="672">
        <v>25894.28571428571</v>
      </c>
      <c r="Q28" s="672">
        <v>0</v>
      </c>
      <c r="R28" s="672">
        <v>0</v>
      </c>
      <c r="S28" s="672">
        <v>0</v>
      </c>
      <c r="T28" s="672">
        <v>0</v>
      </c>
      <c r="U28" s="672">
        <v>0</v>
      </c>
      <c r="V28" s="672">
        <v>0</v>
      </c>
      <c r="W28" s="672">
        <v>0</v>
      </c>
      <c r="X28" s="672">
        <v>10</v>
      </c>
      <c r="Y28" s="672" t="s">
        <v>112</v>
      </c>
      <c r="Z28" s="674" t="s">
        <v>112</v>
      </c>
    </row>
    <row r="29" spans="1:26" s="626" customFormat="1" ht="12.75">
      <c r="A29" s="625"/>
      <c r="B29" s="852"/>
      <c r="C29" s="852"/>
      <c r="D29" s="673"/>
      <c r="E29" s="672"/>
      <c r="F29" s="672"/>
      <c r="G29" s="672"/>
      <c r="H29" s="672"/>
      <c r="I29" s="672"/>
      <c r="J29" s="851"/>
      <c r="K29" s="851"/>
      <c r="L29" s="672"/>
      <c r="M29" s="672"/>
      <c r="N29" s="672"/>
      <c r="O29" s="672"/>
      <c r="P29" s="672"/>
      <c r="Q29" s="672"/>
      <c r="R29" s="672"/>
      <c r="S29" s="672"/>
      <c r="T29" s="672"/>
      <c r="U29" s="672"/>
      <c r="V29" s="672"/>
      <c r="W29" s="672"/>
      <c r="X29" s="672"/>
      <c r="Y29" s="672"/>
      <c r="Z29" s="674"/>
    </row>
    <row r="30" spans="1:26" s="626" customFormat="1" ht="12.75">
      <c r="A30" s="625"/>
      <c r="B30" s="852"/>
      <c r="C30" s="852"/>
      <c r="D30" s="673"/>
      <c r="E30" s="672"/>
      <c r="F30" s="672"/>
      <c r="G30" s="672"/>
      <c r="H30" s="672"/>
      <c r="I30" s="672"/>
      <c r="J30" s="851"/>
      <c r="K30" s="851"/>
      <c r="L30" s="672"/>
      <c r="M30" s="672"/>
      <c r="N30" s="672"/>
      <c r="O30" s="672"/>
      <c r="P30" s="672"/>
      <c r="Q30" s="672"/>
      <c r="R30" s="672"/>
      <c r="S30" s="672"/>
      <c r="T30" s="672"/>
      <c r="U30" s="672"/>
      <c r="V30" s="672"/>
      <c r="W30" s="672"/>
      <c r="X30" s="672"/>
      <c r="Y30" s="672"/>
      <c r="Z30" s="674"/>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2019.5</v>
      </c>
      <c r="N57" s="630">
        <f>SUM(N27:N56)</f>
        <v>9087.7499999999982</v>
      </c>
      <c r="O57" s="630">
        <f t="shared" ref="O57:W57" si="2">SUM(O27:O56)</f>
        <v>12982.499999999998</v>
      </c>
      <c r="P57" s="630">
        <f t="shared" si="2"/>
        <v>25964.999999999996</v>
      </c>
      <c r="Q57" s="630">
        <f t="shared" si="2"/>
        <v>0</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5.5</v>
      </c>
      <c r="N59" s="630">
        <f ca="1">SUMIF($Z$27:AB56,"tertiair",N27:N56)</f>
        <v>24.75</v>
      </c>
      <c r="O59" s="630">
        <f ca="1">SUMIF($Z$27:AC56,"tertiair",O27:O56)</f>
        <v>35.357142857142861</v>
      </c>
      <c r="P59" s="630">
        <f ca="1">SUMIF($Z$27:AD56,"tertiair",P27:P56)</f>
        <v>70.714285714285722</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2014</v>
      </c>
      <c r="N60" s="635">
        <f t="shared" ref="N60:W60" si="4">SUMIF($Z$27:$Z$56,"landbouw",N27:N56)</f>
        <v>9062.9999999999982</v>
      </c>
      <c r="O60" s="635">
        <f t="shared" si="4"/>
        <v>12947.142857142855</v>
      </c>
      <c r="P60" s="635">
        <f t="shared" si="4"/>
        <v>25894.28571428571</v>
      </c>
      <c r="Q60" s="635">
        <f t="shared" si="4"/>
        <v>0</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12.75">
      <c r="A63" s="627"/>
      <c r="B63" s="852"/>
      <c r="C63" s="852"/>
      <c r="D63" s="675"/>
      <c r="E63" s="675"/>
      <c r="F63" s="675"/>
      <c r="G63" s="675"/>
      <c r="H63" s="675"/>
      <c r="I63" s="675"/>
      <c r="J63" s="851"/>
      <c r="K63" s="851"/>
      <c r="L63" s="675"/>
      <c r="M63" s="675"/>
      <c r="N63" s="675"/>
      <c r="O63" s="675"/>
      <c r="P63" s="675"/>
      <c r="Q63" s="675"/>
      <c r="R63" s="675"/>
      <c r="S63" s="675"/>
      <c r="T63" s="675"/>
      <c r="U63" s="675"/>
      <c r="V63" s="675"/>
      <c r="W63" s="675"/>
      <c r="X63" s="675"/>
      <c r="Y63" s="675"/>
      <c r="Z63" s="676"/>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0</v>
      </c>
      <c r="N88" s="630">
        <f t="shared" ref="N88:W88" si="5">SUM(N63:N87)</f>
        <v>0</v>
      </c>
      <c r="O88" s="630">
        <f t="shared" si="5"/>
        <v>0</v>
      </c>
      <c r="P88" s="630">
        <f t="shared" si="5"/>
        <v>0</v>
      </c>
      <c r="Q88" s="630">
        <f t="shared" si="5"/>
        <v>0</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0.58823529411764708</v>
      </c>
      <c r="C97" s="655">
        <f>IF(ISERROR(N57/(O57+N57)),0,N57/(N57+O57))</f>
        <v>0.41176470588235292</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10691.470588235292</v>
      </c>
      <c r="C100" s="664">
        <f t="shared" si="9"/>
        <v>0</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15273.529411764704</v>
      </c>
      <c r="C101" s="667">
        <f t="shared" ref="C101:H101" si="10">$B$97*Q57</f>
        <v>0</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801</v>
      </c>
      <c r="B10" s="1019">
        <v>2017</v>
      </c>
      <c r="C10" s="1013" t="s">
        <v>803</v>
      </c>
      <c r="D10" s="1013" t="s">
        <v>802</v>
      </c>
      <c r="E10" s="376" t="s">
        <v>800</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813</v>
      </c>
      <c r="G16" s="372" t="s">
        <v>814</v>
      </c>
      <c r="H16" s="372" t="s">
        <v>815</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807</v>
      </c>
      <c r="C18" s="971" t="s">
        <v>809</v>
      </c>
      <c r="D18" s="973" t="s">
        <v>810</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808</v>
      </c>
      <c r="C22" s="374" t="s">
        <v>411</v>
      </c>
      <c r="D22" s="374" t="s">
        <v>811</v>
      </c>
      <c r="E22" s="371"/>
      <c r="F22" s="1017" t="s">
        <v>819</v>
      </c>
      <c r="G22" s="1017" t="s">
        <v>820</v>
      </c>
      <c r="H22" s="1017" t="s">
        <v>821</v>
      </c>
      <c r="I22"/>
    </row>
    <row r="23" spans="1:10" s="959" customFormat="1">
      <c r="A23" s="374" t="s">
        <v>411</v>
      </c>
      <c r="B23" s="860" t="s">
        <v>807</v>
      </c>
      <c r="C23" s="374" t="s">
        <v>411</v>
      </c>
      <c r="D23" s="374" t="s">
        <v>812</v>
      </c>
      <c r="E23" s="371"/>
      <c r="F23" s="1017" t="s">
        <v>816</v>
      </c>
      <c r="G23" s="1017" t="s">
        <v>817</v>
      </c>
      <c r="H23" s="1017" t="s">
        <v>818</v>
      </c>
    </row>
    <row r="24" spans="1:10" s="11" customFormat="1">
      <c r="A24" s="374" t="s">
        <v>409</v>
      </c>
      <c r="B24" s="1008" t="str">
        <f>"maart 2016"</f>
        <v>maart 2016</v>
      </c>
      <c r="C24" s="374" t="s">
        <v>409</v>
      </c>
      <c r="D24" s="374" t="s">
        <v>670</v>
      </c>
      <c r="E24" s="375" t="s">
        <v>671</v>
      </c>
      <c r="F24" s="1017" t="s">
        <v>822</v>
      </c>
      <c r="G24" s="1017" t="s">
        <v>823</v>
      </c>
      <c r="H24" s="1017" t="s">
        <v>824</v>
      </c>
      <c r="I24" s="959"/>
      <c r="J24" s="959"/>
    </row>
    <row r="25" spans="1:10" s="11" customFormat="1">
      <c r="A25" s="374" t="s">
        <v>409</v>
      </c>
      <c r="B25" s="1008" t="str">
        <f>"maart 2016"</f>
        <v>maart 2016</v>
      </c>
      <c r="C25" s="374" t="s">
        <v>409</v>
      </c>
      <c r="D25" s="1009" t="s">
        <v>647</v>
      </c>
      <c r="E25" s="375" t="s">
        <v>426</v>
      </c>
      <c r="F25" s="1017" t="s">
        <v>822</v>
      </c>
      <c r="G25" s="1017" t="s">
        <v>823</v>
      </c>
      <c r="H25" s="1017" t="s">
        <v>824</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4"/>
  <sheetViews>
    <sheetView workbookViewId="0">
      <selection activeCell="C32" sqref="C3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804</v>
      </c>
      <c r="D16" s="1012" t="s">
        <v>676</v>
      </c>
    </row>
    <row r="17" spans="1:4" s="7" customFormat="1">
      <c r="A17" s="960" t="s">
        <v>754</v>
      </c>
      <c r="B17" s="1011">
        <v>42877</v>
      </c>
      <c r="C17" s="959" t="s">
        <v>805</v>
      </c>
      <c r="D17" s="1012" t="s">
        <v>752</v>
      </c>
    </row>
    <row r="18" spans="1:4" s="7" customFormat="1">
      <c r="A18" s="960" t="s">
        <v>754</v>
      </c>
      <c r="B18" s="1011">
        <v>42877</v>
      </c>
      <c r="C18" s="959" t="s">
        <v>806</v>
      </c>
      <c r="D18" s="1012" t="s">
        <v>753</v>
      </c>
    </row>
    <row r="19" spans="1:4" s="7" customFormat="1">
      <c r="A19" s="960" t="s">
        <v>790</v>
      </c>
      <c r="B19" s="986">
        <v>43167</v>
      </c>
      <c r="C19" s="986" t="s">
        <v>791</v>
      </c>
      <c r="D19" s="1012" t="s">
        <v>792</v>
      </c>
    </row>
    <row r="20" spans="1:4" s="7" customFormat="1">
      <c r="A20" s="960" t="s">
        <v>790</v>
      </c>
      <c r="B20" s="986">
        <v>43167</v>
      </c>
      <c r="C20" s="986" t="s">
        <v>793</v>
      </c>
      <c r="D20" s="1024" t="s">
        <v>794</v>
      </c>
    </row>
    <row r="21" spans="1:4">
      <c r="A21" s="960" t="s">
        <v>790</v>
      </c>
      <c r="B21" s="986">
        <v>43167</v>
      </c>
      <c r="C21" s="986" t="s">
        <v>795</v>
      </c>
      <c r="D21" s="1024" t="s">
        <v>796</v>
      </c>
    </row>
    <row r="22" spans="1:4">
      <c r="A22" s="960" t="s">
        <v>790</v>
      </c>
      <c r="B22" s="986">
        <v>43167</v>
      </c>
      <c r="C22" s="986" t="s">
        <v>797</v>
      </c>
      <c r="D22" s="1024" t="s">
        <v>798</v>
      </c>
    </row>
    <row r="23" spans="1:4">
      <c r="A23" s="960" t="s">
        <v>790</v>
      </c>
      <c r="B23" s="986">
        <v>43278</v>
      </c>
      <c r="C23" s="986" t="s">
        <v>825</v>
      </c>
      <c r="D23" s="1012"/>
    </row>
    <row r="24" spans="1:4">
      <c r="A24" s="960"/>
      <c r="B24" s="960"/>
      <c r="C24" s="960"/>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94" t="s">
        <v>221</v>
      </c>
      <c r="B2" s="1094"/>
      <c r="C2" s="1094"/>
      <c r="D2" s="59"/>
      <c r="E2" s="59"/>
      <c r="F2" s="59"/>
      <c r="G2" s="59"/>
      <c r="H2" s="60"/>
      <c r="I2" s="60"/>
      <c r="J2" s="61"/>
      <c r="K2" s="61"/>
      <c r="L2" s="60"/>
      <c r="M2" s="60"/>
      <c r="N2" s="60"/>
      <c r="O2" s="60"/>
      <c r="P2" s="60"/>
      <c r="Q2" s="60"/>
      <c r="R2" s="60"/>
    </row>
    <row r="3" spans="1:19">
      <c r="A3" s="1095"/>
      <c r="B3" s="1095"/>
      <c r="C3" s="1095"/>
      <c r="D3" s="1095"/>
      <c r="E3" s="1095"/>
      <c r="F3" s="1095"/>
      <c r="G3" s="1095"/>
      <c r="H3" s="1095"/>
      <c r="I3" s="1095"/>
      <c r="J3" s="1095"/>
      <c r="K3" s="1095"/>
      <c r="L3" s="1095"/>
      <c r="M3" s="1095"/>
      <c r="N3" s="1095"/>
      <c r="O3" s="1095"/>
      <c r="P3" s="1095"/>
      <c r="Q3" s="1095"/>
      <c r="R3" s="1095"/>
    </row>
    <row r="4" spans="1:19" ht="15.75" thickBot="1">
      <c r="A4" s="474"/>
      <c r="B4" s="474"/>
      <c r="C4" s="63"/>
      <c r="D4" s="63"/>
      <c r="E4" s="63"/>
      <c r="F4" s="63"/>
      <c r="G4" s="63"/>
      <c r="H4" s="63"/>
      <c r="I4" s="63"/>
      <c r="J4" s="63"/>
      <c r="K4" s="63"/>
      <c r="L4" s="63"/>
      <c r="M4" s="63"/>
      <c r="N4" s="63"/>
      <c r="O4" s="63"/>
      <c r="P4" s="63"/>
      <c r="Q4" s="63"/>
      <c r="R4" s="63"/>
    </row>
    <row r="5" spans="1:19" ht="16.5" thickBot="1">
      <c r="A5" s="1096" t="s">
        <v>222</v>
      </c>
      <c r="B5" s="861"/>
      <c r="C5" s="1099" t="s">
        <v>343</v>
      </c>
      <c r="D5" s="1100"/>
      <c r="E5" s="1100"/>
      <c r="F5" s="1100"/>
      <c r="G5" s="1100"/>
      <c r="H5" s="1100"/>
      <c r="I5" s="1100"/>
      <c r="J5" s="1100"/>
      <c r="K5" s="1100"/>
      <c r="L5" s="1100"/>
      <c r="M5" s="1100"/>
      <c r="N5" s="1100"/>
      <c r="O5" s="1100"/>
      <c r="P5" s="1100"/>
      <c r="Q5" s="1100"/>
      <c r="R5" s="1101"/>
    </row>
    <row r="6" spans="1:19" ht="16.5" thickTop="1">
      <c r="A6" s="1097"/>
      <c r="B6" s="862"/>
      <c r="C6" s="1102" t="s">
        <v>21</v>
      </c>
      <c r="D6" s="1104" t="s">
        <v>196</v>
      </c>
      <c r="E6" s="1106" t="s">
        <v>197</v>
      </c>
      <c r="F6" s="1107"/>
      <c r="G6" s="1107"/>
      <c r="H6" s="1107"/>
      <c r="I6" s="1107"/>
      <c r="J6" s="1107"/>
      <c r="K6" s="1107"/>
      <c r="L6" s="1108"/>
      <c r="M6" s="1106" t="s">
        <v>198</v>
      </c>
      <c r="N6" s="1107"/>
      <c r="O6" s="1107"/>
      <c r="P6" s="1107"/>
      <c r="Q6" s="1107"/>
      <c r="R6" s="1109" t="s">
        <v>116</v>
      </c>
    </row>
    <row r="7" spans="1:19" ht="45.75" thickBot="1">
      <c r="A7" s="1098"/>
      <c r="B7" s="863"/>
      <c r="C7" s="1103"/>
      <c r="D7" s="1105"/>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110"/>
    </row>
    <row r="8" spans="1:19" ht="18.75" customHeight="1" thickTop="1">
      <c r="A8" s="870" t="s">
        <v>344</v>
      </c>
      <c r="B8" s="875"/>
      <c r="C8" s="1081"/>
      <c r="D8" s="1081"/>
      <c r="E8" s="1081"/>
      <c r="F8" s="1081"/>
      <c r="G8" s="1081"/>
      <c r="H8" s="1081"/>
      <c r="I8" s="1081"/>
      <c r="J8" s="1081"/>
      <c r="K8" s="1081"/>
      <c r="L8" s="1081"/>
      <c r="M8" s="1081"/>
      <c r="N8" s="1081"/>
      <c r="O8" s="1081"/>
      <c r="P8" s="1081"/>
      <c r="Q8" s="1081"/>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9202.8641100000004</v>
      </c>
      <c r="D10" s="719">
        <f ca="1">tertiair!C16</f>
        <v>35.357142857142861</v>
      </c>
      <c r="E10" s="719">
        <f ca="1">tertiair!D16</f>
        <v>10409.683684454209</v>
      </c>
      <c r="F10" s="719">
        <f>tertiair!E16</f>
        <v>94.779140335527927</v>
      </c>
      <c r="G10" s="719">
        <f ca="1">tertiair!F16</f>
        <v>1295.2422745988615</v>
      </c>
      <c r="H10" s="719">
        <f>tertiair!G16</f>
        <v>0</v>
      </c>
      <c r="I10" s="719">
        <f>tertiair!H16</f>
        <v>0</v>
      </c>
      <c r="J10" s="719">
        <f>tertiair!I16</f>
        <v>0</v>
      </c>
      <c r="K10" s="719">
        <f>tertiair!J16</f>
        <v>0</v>
      </c>
      <c r="L10" s="719">
        <f>tertiair!K16</f>
        <v>0</v>
      </c>
      <c r="M10" s="719">
        <f ca="1">tertiair!L16</f>
        <v>0</v>
      </c>
      <c r="N10" s="719">
        <f>tertiair!M16</f>
        <v>0</v>
      </c>
      <c r="O10" s="719">
        <f ca="1">tertiair!N16</f>
        <v>857.8900263037192</v>
      </c>
      <c r="P10" s="719">
        <f>tertiair!O16</f>
        <v>3.1266666666666669</v>
      </c>
      <c r="Q10" s="720">
        <f>tertiair!P16</f>
        <v>19.066666666666666</v>
      </c>
      <c r="R10" s="722">
        <f ca="1">SUM(C10:Q10)</f>
        <v>21918.009711882794</v>
      </c>
      <c r="S10" s="67"/>
    </row>
    <row r="11" spans="1:19" s="475" customFormat="1">
      <c r="A11" s="871" t="s">
        <v>225</v>
      </c>
      <c r="B11" s="876"/>
      <c r="C11" s="719">
        <f>huishoudens!B8</f>
        <v>14806.522835626211</v>
      </c>
      <c r="D11" s="719">
        <f>huishoudens!C8</f>
        <v>0</v>
      </c>
      <c r="E11" s="719">
        <f>huishoudens!D8</f>
        <v>39670.409282809203</v>
      </c>
      <c r="F11" s="719">
        <f>huishoudens!E8</f>
        <v>2111.0913785762186</v>
      </c>
      <c r="G11" s="719">
        <f>huishoudens!F8</f>
        <v>4088.7983163288809</v>
      </c>
      <c r="H11" s="719">
        <f>huishoudens!G8</f>
        <v>0</v>
      </c>
      <c r="I11" s="719">
        <f>huishoudens!H8</f>
        <v>0</v>
      </c>
      <c r="J11" s="719">
        <f>huishoudens!I8</f>
        <v>0</v>
      </c>
      <c r="K11" s="719">
        <f>huishoudens!J8</f>
        <v>735.14127642357062</v>
      </c>
      <c r="L11" s="719">
        <f>huishoudens!K8</f>
        <v>0</v>
      </c>
      <c r="M11" s="719">
        <f>huishoudens!L8</f>
        <v>0</v>
      </c>
      <c r="N11" s="719">
        <f>huishoudens!M8</f>
        <v>0</v>
      </c>
      <c r="O11" s="719">
        <f>huishoudens!N8</f>
        <v>6564.7632905807141</v>
      </c>
      <c r="P11" s="719">
        <f>huishoudens!O8</f>
        <v>103.17999999999999</v>
      </c>
      <c r="Q11" s="720">
        <f>huishoudens!P8</f>
        <v>286</v>
      </c>
      <c r="R11" s="722">
        <f>SUM(C11:Q11)</f>
        <v>68365.906380344793</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4374.1577399999996</v>
      </c>
      <c r="D13" s="719">
        <f>industrie!C18</f>
        <v>0</v>
      </c>
      <c r="E13" s="719">
        <f>industrie!D18</f>
        <v>1706.5586452597802</v>
      </c>
      <c r="F13" s="719">
        <f>industrie!E18</f>
        <v>348.50597615198188</v>
      </c>
      <c r="G13" s="719">
        <f>industrie!F18</f>
        <v>1833.3878432701667</v>
      </c>
      <c r="H13" s="719">
        <f>industrie!G18</f>
        <v>0</v>
      </c>
      <c r="I13" s="719">
        <f>industrie!H18</f>
        <v>0</v>
      </c>
      <c r="J13" s="719">
        <f>industrie!I18</f>
        <v>0</v>
      </c>
      <c r="K13" s="719">
        <f>industrie!J18</f>
        <v>21.523142491767956</v>
      </c>
      <c r="L13" s="719">
        <f>industrie!K18</f>
        <v>0</v>
      </c>
      <c r="M13" s="719">
        <f>industrie!L18</f>
        <v>0</v>
      </c>
      <c r="N13" s="719">
        <f>industrie!M18</f>
        <v>0</v>
      </c>
      <c r="O13" s="719">
        <f>industrie!N18</f>
        <v>1003.5105089574213</v>
      </c>
      <c r="P13" s="719">
        <f>industrie!O18</f>
        <v>0</v>
      </c>
      <c r="Q13" s="720">
        <f>industrie!P18</f>
        <v>0</v>
      </c>
      <c r="R13" s="722">
        <f>SUM(C13:Q13)</f>
        <v>9287.643856131117</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28383.54468562621</v>
      </c>
      <c r="D15" s="724">
        <f t="shared" ref="D15:Q15" ca="1" si="0">SUM(D9:D14)</f>
        <v>35.357142857142861</v>
      </c>
      <c r="E15" s="724">
        <f t="shared" ca="1" si="0"/>
        <v>51786.651612523186</v>
      </c>
      <c r="F15" s="724">
        <f t="shared" si="0"/>
        <v>2554.3764950637283</v>
      </c>
      <c r="G15" s="724">
        <f t="shared" ca="1" si="0"/>
        <v>7217.4284341979092</v>
      </c>
      <c r="H15" s="724">
        <f t="shared" si="0"/>
        <v>0</v>
      </c>
      <c r="I15" s="724">
        <f t="shared" si="0"/>
        <v>0</v>
      </c>
      <c r="J15" s="724">
        <f t="shared" si="0"/>
        <v>0</v>
      </c>
      <c r="K15" s="724">
        <f t="shared" si="0"/>
        <v>756.66441891533862</v>
      </c>
      <c r="L15" s="724">
        <f t="shared" si="0"/>
        <v>0</v>
      </c>
      <c r="M15" s="724">
        <f t="shared" ca="1" si="0"/>
        <v>0</v>
      </c>
      <c r="N15" s="724">
        <f t="shared" si="0"/>
        <v>0</v>
      </c>
      <c r="O15" s="724">
        <f t="shared" ca="1" si="0"/>
        <v>8426.1638258418552</v>
      </c>
      <c r="P15" s="724">
        <f t="shared" si="0"/>
        <v>106.30666666666666</v>
      </c>
      <c r="Q15" s="725">
        <f t="shared" si="0"/>
        <v>305.06666666666666</v>
      </c>
      <c r="R15" s="726">
        <f ca="1">SUM(R9:R14)</f>
        <v>99571.559948358714</v>
      </c>
      <c r="S15" s="67"/>
    </row>
    <row r="16" spans="1:19" s="475" customFormat="1" ht="15.75">
      <c r="A16" s="873" t="s">
        <v>227</v>
      </c>
      <c r="B16" s="769"/>
      <c r="C16" s="1082"/>
      <c r="D16" s="1082"/>
      <c r="E16" s="1082"/>
      <c r="F16" s="1082"/>
      <c r="G16" s="1082"/>
      <c r="H16" s="1082"/>
      <c r="I16" s="1082"/>
      <c r="J16" s="1082"/>
      <c r="K16" s="1082"/>
      <c r="L16" s="1082"/>
      <c r="M16" s="1082"/>
      <c r="N16" s="1082"/>
      <c r="O16" s="1082"/>
      <c r="P16" s="1082"/>
      <c r="Q16" s="1082"/>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445.68779246318371</v>
      </c>
      <c r="I18" s="719">
        <f>transport!H54</f>
        <v>0</v>
      </c>
      <c r="J18" s="719">
        <f>transport!I54</f>
        <v>0</v>
      </c>
      <c r="K18" s="719">
        <f>transport!J54</f>
        <v>0</v>
      </c>
      <c r="L18" s="719">
        <f>transport!K54</f>
        <v>0</v>
      </c>
      <c r="M18" s="719">
        <f>transport!L54</f>
        <v>0</v>
      </c>
      <c r="N18" s="719">
        <f>transport!M54</f>
        <v>25.416275554075177</v>
      </c>
      <c r="O18" s="719">
        <f>transport!N54</f>
        <v>0</v>
      </c>
      <c r="P18" s="719">
        <f>transport!O54</f>
        <v>0</v>
      </c>
      <c r="Q18" s="720">
        <f>transport!P54</f>
        <v>0</v>
      </c>
      <c r="R18" s="722">
        <f>SUM(C18:Q18)</f>
        <v>471.1040680172589</v>
      </c>
      <c r="S18" s="67"/>
    </row>
    <row r="19" spans="1:19" s="475" customFormat="1" ht="15" thickBot="1">
      <c r="A19" s="871" t="s">
        <v>307</v>
      </c>
      <c r="B19" s="876"/>
      <c r="C19" s="728">
        <f>transport!B14</f>
        <v>7.1995990845045839</v>
      </c>
      <c r="D19" s="728">
        <f>transport!C14</f>
        <v>0</v>
      </c>
      <c r="E19" s="728">
        <f>transport!D14</f>
        <v>18.727609092388462</v>
      </c>
      <c r="F19" s="728">
        <f>transport!E14</f>
        <v>119.6541862809449</v>
      </c>
      <c r="G19" s="728">
        <f>transport!F14</f>
        <v>0</v>
      </c>
      <c r="H19" s="728">
        <f>transport!G14</f>
        <v>30992.014053097613</v>
      </c>
      <c r="I19" s="728">
        <f>transport!H14</f>
        <v>7083.9280124497445</v>
      </c>
      <c r="J19" s="728">
        <f>transport!I14</f>
        <v>0</v>
      </c>
      <c r="K19" s="728">
        <f>transport!J14</f>
        <v>0</v>
      </c>
      <c r="L19" s="728">
        <f>transport!K14</f>
        <v>0</v>
      </c>
      <c r="M19" s="728">
        <f>transport!L14</f>
        <v>0</v>
      </c>
      <c r="N19" s="728">
        <f>transport!M14</f>
        <v>2010.8185539589404</v>
      </c>
      <c r="O19" s="728">
        <f>transport!N14</f>
        <v>0</v>
      </c>
      <c r="P19" s="728">
        <f>transport!O14</f>
        <v>0</v>
      </c>
      <c r="Q19" s="729">
        <f>transport!P14</f>
        <v>0</v>
      </c>
      <c r="R19" s="730">
        <f>SUM(C19:Q19)</f>
        <v>40232.342013964131</v>
      </c>
      <c r="S19" s="67"/>
    </row>
    <row r="20" spans="1:19" s="475" customFormat="1" ht="15.75" thickBot="1">
      <c r="A20" s="731" t="s">
        <v>230</v>
      </c>
      <c r="B20" s="879"/>
      <c r="C20" s="874">
        <f>SUM(C17:C19)</f>
        <v>7.1995990845045839</v>
      </c>
      <c r="D20" s="732">
        <f t="shared" ref="D20:R20" si="1">SUM(D17:D19)</f>
        <v>0</v>
      </c>
      <c r="E20" s="732">
        <f t="shared" si="1"/>
        <v>18.727609092388462</v>
      </c>
      <c r="F20" s="732">
        <f t="shared" si="1"/>
        <v>119.6541862809449</v>
      </c>
      <c r="G20" s="732">
        <f t="shared" si="1"/>
        <v>0</v>
      </c>
      <c r="H20" s="732">
        <f t="shared" si="1"/>
        <v>31437.701845560798</v>
      </c>
      <c r="I20" s="732">
        <f t="shared" si="1"/>
        <v>7083.9280124497445</v>
      </c>
      <c r="J20" s="732">
        <f t="shared" si="1"/>
        <v>0</v>
      </c>
      <c r="K20" s="732">
        <f t="shared" si="1"/>
        <v>0</v>
      </c>
      <c r="L20" s="732">
        <f t="shared" si="1"/>
        <v>0</v>
      </c>
      <c r="M20" s="732">
        <f t="shared" si="1"/>
        <v>0</v>
      </c>
      <c r="N20" s="732">
        <f t="shared" si="1"/>
        <v>2036.2348295130155</v>
      </c>
      <c r="O20" s="732">
        <f t="shared" si="1"/>
        <v>0</v>
      </c>
      <c r="P20" s="732">
        <f t="shared" si="1"/>
        <v>0</v>
      </c>
      <c r="Q20" s="733">
        <f t="shared" si="1"/>
        <v>0</v>
      </c>
      <c r="R20" s="734">
        <f t="shared" si="1"/>
        <v>40703.44608198139</v>
      </c>
      <c r="S20" s="67"/>
    </row>
    <row r="21" spans="1:19" s="475" customFormat="1" ht="15.75">
      <c r="A21" s="873" t="s">
        <v>237</v>
      </c>
      <c r="B21" s="769"/>
      <c r="C21" s="1082"/>
      <c r="D21" s="1082"/>
      <c r="E21" s="1082"/>
      <c r="F21" s="1082"/>
      <c r="G21" s="1082"/>
      <c r="H21" s="1082"/>
      <c r="I21" s="1082"/>
      <c r="J21" s="1082"/>
      <c r="K21" s="1082"/>
      <c r="L21" s="1082"/>
      <c r="M21" s="1082"/>
      <c r="N21" s="1082"/>
      <c r="O21" s="1082"/>
      <c r="P21" s="1082"/>
      <c r="Q21" s="1082"/>
      <c r="R21" s="727"/>
      <c r="S21" s="67"/>
    </row>
    <row r="22" spans="1:19" s="475" customFormat="1" ht="15" thickBot="1">
      <c r="A22" s="871" t="s">
        <v>648</v>
      </c>
      <c r="B22" s="880"/>
      <c r="C22" s="728">
        <f>+landbouw!B8</f>
        <v>975.46069999999997</v>
      </c>
      <c r="D22" s="728">
        <f>+landbouw!C8</f>
        <v>12947.142857142855</v>
      </c>
      <c r="E22" s="728">
        <f>+landbouw!D8</f>
        <v>1342.2201004319941</v>
      </c>
      <c r="F22" s="728">
        <f>+landbouw!E8</f>
        <v>9.0351255638968251</v>
      </c>
      <c r="G22" s="728">
        <f>+landbouw!F8</f>
        <v>2474.9296209726526</v>
      </c>
      <c r="H22" s="728">
        <f>+landbouw!G8</f>
        <v>0</v>
      </c>
      <c r="I22" s="728">
        <f>+landbouw!H8</f>
        <v>0</v>
      </c>
      <c r="J22" s="728">
        <f>+landbouw!I8</f>
        <v>0</v>
      </c>
      <c r="K22" s="728">
        <f>+landbouw!J8</f>
        <v>149.54901148318433</v>
      </c>
      <c r="L22" s="728">
        <f>+landbouw!K8</f>
        <v>0</v>
      </c>
      <c r="M22" s="728">
        <f>+landbouw!L8</f>
        <v>0</v>
      </c>
      <c r="N22" s="728">
        <f>+landbouw!M8</f>
        <v>0</v>
      </c>
      <c r="O22" s="728">
        <f>+landbouw!N8</f>
        <v>0</v>
      </c>
      <c r="P22" s="728">
        <f>+landbouw!O8</f>
        <v>0</v>
      </c>
      <c r="Q22" s="729">
        <f>+landbouw!P8</f>
        <v>0</v>
      </c>
      <c r="R22" s="730">
        <f>SUM(C22:Q22)</f>
        <v>17898.337415594582</v>
      </c>
      <c r="S22" s="67"/>
    </row>
    <row r="23" spans="1:19" s="475" customFormat="1" ht="17.25" thickTop="1" thickBot="1">
      <c r="A23" s="735" t="s">
        <v>116</v>
      </c>
      <c r="B23" s="865"/>
      <c r="C23" s="736">
        <f ca="1">C20+C15+C22</f>
        <v>29366.204984710716</v>
      </c>
      <c r="D23" s="736">
        <f t="shared" ref="D23:Q23" ca="1" si="2">D20+D15+D22</f>
        <v>12982.499999999998</v>
      </c>
      <c r="E23" s="736">
        <f t="shared" ca="1" si="2"/>
        <v>53147.599322047572</v>
      </c>
      <c r="F23" s="736">
        <f t="shared" si="2"/>
        <v>2683.0658069085698</v>
      </c>
      <c r="G23" s="736">
        <f t="shared" ca="1" si="2"/>
        <v>9692.3580551705618</v>
      </c>
      <c r="H23" s="736">
        <f t="shared" si="2"/>
        <v>31437.701845560798</v>
      </c>
      <c r="I23" s="736">
        <f t="shared" si="2"/>
        <v>7083.9280124497445</v>
      </c>
      <c r="J23" s="736">
        <f t="shared" si="2"/>
        <v>0</v>
      </c>
      <c r="K23" s="736">
        <f t="shared" si="2"/>
        <v>906.21343039852297</v>
      </c>
      <c r="L23" s="736">
        <f t="shared" si="2"/>
        <v>0</v>
      </c>
      <c r="M23" s="736">
        <f t="shared" ca="1" si="2"/>
        <v>0</v>
      </c>
      <c r="N23" s="736">
        <f t="shared" si="2"/>
        <v>2036.2348295130155</v>
      </c>
      <c r="O23" s="736">
        <f t="shared" ca="1" si="2"/>
        <v>8426.1638258418552</v>
      </c>
      <c r="P23" s="736">
        <f t="shared" si="2"/>
        <v>106.30666666666666</v>
      </c>
      <c r="Q23" s="737">
        <f t="shared" si="2"/>
        <v>305.06666666666666</v>
      </c>
      <c r="R23" s="738">
        <f ca="1">R20+R15+R22</f>
        <v>158173.34344593468</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083"/>
      <c r="B27" s="1083"/>
      <c r="C27" s="1083"/>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032"/>
      <c r="B29" s="1032"/>
      <c r="C29" s="1032"/>
      <c r="D29" s="1032"/>
      <c r="E29" s="1032"/>
      <c r="F29" s="1032"/>
      <c r="G29" s="1032"/>
      <c r="H29" s="1032"/>
      <c r="I29" s="1032"/>
      <c r="J29" s="1032"/>
      <c r="K29" s="1032"/>
      <c r="L29" s="1032"/>
      <c r="M29" s="1032"/>
      <c r="N29" s="1032"/>
      <c r="O29" s="1032"/>
      <c r="P29" s="1032"/>
      <c r="Q29" s="1032"/>
      <c r="R29" s="103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084"/>
      <c r="B31" s="883"/>
      <c r="C31" s="1086" t="s">
        <v>347</v>
      </c>
      <c r="D31" s="1087"/>
      <c r="E31" s="1087"/>
      <c r="F31" s="1087"/>
      <c r="G31" s="1087"/>
      <c r="H31" s="1087"/>
      <c r="I31" s="1087"/>
      <c r="J31" s="1087"/>
      <c r="K31" s="1087"/>
      <c r="L31" s="1087"/>
      <c r="M31" s="1087"/>
      <c r="N31" s="1087"/>
      <c r="O31" s="1087"/>
      <c r="P31" s="1087"/>
      <c r="Q31" s="1087"/>
      <c r="R31" s="1088"/>
    </row>
    <row r="32" spans="1:19" ht="16.5" thickTop="1">
      <c r="A32" s="1085"/>
      <c r="B32" s="884"/>
      <c r="C32" s="1089" t="s">
        <v>21</v>
      </c>
      <c r="D32" s="1049" t="s">
        <v>232</v>
      </c>
      <c r="E32" s="1091" t="s">
        <v>197</v>
      </c>
      <c r="F32" s="1092"/>
      <c r="G32" s="1092"/>
      <c r="H32" s="1092"/>
      <c r="I32" s="1092"/>
      <c r="J32" s="1092"/>
      <c r="K32" s="1092"/>
      <c r="L32" s="1093"/>
      <c r="M32" s="1091" t="s">
        <v>198</v>
      </c>
      <c r="N32" s="1092"/>
      <c r="O32" s="1092"/>
      <c r="P32" s="1092"/>
      <c r="Q32" s="1092"/>
      <c r="R32" s="1033" t="s">
        <v>116</v>
      </c>
    </row>
    <row r="33" spans="1:18" ht="45.75" thickBot="1">
      <c r="A33" s="1085"/>
      <c r="B33" s="884"/>
      <c r="C33" s="1090"/>
      <c r="D33" s="1052"/>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035"/>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1936.7820220851138</v>
      </c>
      <c r="D36" s="719">
        <f ca="1">tertiair!C20</f>
        <v>8.4025210084033635</v>
      </c>
      <c r="E36" s="719">
        <f ca="1">tertiair!D20</f>
        <v>2102.7561042597504</v>
      </c>
      <c r="F36" s="719">
        <f>tertiair!E20</f>
        <v>21.514864856164841</v>
      </c>
      <c r="G36" s="719">
        <f ca="1">tertiair!F20</f>
        <v>345.82968731789606</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4415.2851995273286</v>
      </c>
    </row>
    <row r="37" spans="1:18">
      <c r="A37" s="886" t="s">
        <v>225</v>
      </c>
      <c r="B37" s="893"/>
      <c r="C37" s="719">
        <f ca="1">huishoudens!B12</f>
        <v>3116.0959126270895</v>
      </c>
      <c r="D37" s="719">
        <f ca="1">huishoudens!C12</f>
        <v>0</v>
      </c>
      <c r="E37" s="719">
        <f>huishoudens!D12</f>
        <v>8013.42267512746</v>
      </c>
      <c r="F37" s="719">
        <f>huishoudens!E12</f>
        <v>479.21774293680164</v>
      </c>
      <c r="G37" s="719">
        <f>huishoudens!F12</f>
        <v>1091.7091504598113</v>
      </c>
      <c r="H37" s="719">
        <f>huishoudens!G12</f>
        <v>0</v>
      </c>
      <c r="I37" s="719">
        <f>huishoudens!H12</f>
        <v>0</v>
      </c>
      <c r="J37" s="719">
        <f>huishoudens!I12</f>
        <v>0</v>
      </c>
      <c r="K37" s="719">
        <f>huishoudens!J12</f>
        <v>260.240011853944</v>
      </c>
      <c r="L37" s="719">
        <f>huishoudens!K12</f>
        <v>0</v>
      </c>
      <c r="M37" s="719">
        <f>huishoudens!L12</f>
        <v>0</v>
      </c>
      <c r="N37" s="719">
        <f>huishoudens!M12</f>
        <v>0</v>
      </c>
      <c r="O37" s="719">
        <f>huishoudens!N12</f>
        <v>0</v>
      </c>
      <c r="P37" s="719">
        <f>huishoudens!O12</f>
        <v>0</v>
      </c>
      <c r="Q37" s="829">
        <f>huishoudens!P12</f>
        <v>0</v>
      </c>
      <c r="R37" s="918">
        <f ca="1">SUM(C37:Q37)</f>
        <v>12960.685493005109</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920.56016163390348</v>
      </c>
      <c r="D39" s="719">
        <f ca="1">industrie!C22</f>
        <v>0</v>
      </c>
      <c r="E39" s="719">
        <f>industrie!D22</f>
        <v>344.72484634247564</v>
      </c>
      <c r="F39" s="719">
        <f>industrie!E22</f>
        <v>79.110856586499892</v>
      </c>
      <c r="G39" s="719">
        <f>industrie!F22</f>
        <v>489.51455415313455</v>
      </c>
      <c r="H39" s="719">
        <f>industrie!G22</f>
        <v>0</v>
      </c>
      <c r="I39" s="719">
        <f>industrie!H22</f>
        <v>0</v>
      </c>
      <c r="J39" s="719">
        <f>industrie!I22</f>
        <v>0</v>
      </c>
      <c r="K39" s="719">
        <f>industrie!J22</f>
        <v>7.6191924420858559</v>
      </c>
      <c r="L39" s="719">
        <f>industrie!K22</f>
        <v>0</v>
      </c>
      <c r="M39" s="719">
        <f>industrie!L22</f>
        <v>0</v>
      </c>
      <c r="N39" s="719">
        <f>industrie!M22</f>
        <v>0</v>
      </c>
      <c r="O39" s="719">
        <f>industrie!N22</f>
        <v>0</v>
      </c>
      <c r="P39" s="719">
        <f>industrie!O22</f>
        <v>0</v>
      </c>
      <c r="Q39" s="829">
        <f>industrie!P22</f>
        <v>0</v>
      </c>
      <c r="R39" s="919">
        <f ca="1">SUM(C39:Q39)</f>
        <v>1841.5296111580997</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5973.4380963461072</v>
      </c>
      <c r="D41" s="764">
        <f t="shared" ref="D41:R41" ca="1" si="4">SUM(D35:D40)</f>
        <v>8.4025210084033635</v>
      </c>
      <c r="E41" s="764">
        <f t="shared" ca="1" si="4"/>
        <v>10460.903625729685</v>
      </c>
      <c r="F41" s="764">
        <f t="shared" si="4"/>
        <v>579.84346437946635</v>
      </c>
      <c r="G41" s="764">
        <f t="shared" ca="1" si="4"/>
        <v>1927.0533919308418</v>
      </c>
      <c r="H41" s="764">
        <f t="shared" si="4"/>
        <v>0</v>
      </c>
      <c r="I41" s="764">
        <f t="shared" si="4"/>
        <v>0</v>
      </c>
      <c r="J41" s="764">
        <f t="shared" si="4"/>
        <v>0</v>
      </c>
      <c r="K41" s="764">
        <f t="shared" si="4"/>
        <v>267.85920429602987</v>
      </c>
      <c r="L41" s="764">
        <f t="shared" si="4"/>
        <v>0</v>
      </c>
      <c r="M41" s="764">
        <f t="shared" ca="1" si="4"/>
        <v>0</v>
      </c>
      <c r="N41" s="764">
        <f t="shared" si="4"/>
        <v>0</v>
      </c>
      <c r="O41" s="764">
        <f t="shared" ca="1" si="4"/>
        <v>0</v>
      </c>
      <c r="P41" s="764">
        <f t="shared" si="4"/>
        <v>0</v>
      </c>
      <c r="Q41" s="765">
        <f t="shared" si="4"/>
        <v>0</v>
      </c>
      <c r="R41" s="766">
        <f t="shared" ca="1" si="4"/>
        <v>19217.500303690536</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118.99864058767005</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118.99864058767005</v>
      </c>
    </row>
    <row r="45" spans="1:18" ht="15" thickBot="1">
      <c r="A45" s="889" t="s">
        <v>307</v>
      </c>
      <c r="B45" s="899"/>
      <c r="C45" s="728">
        <f ca="1">transport!B18</f>
        <v>1.5151863492080748</v>
      </c>
      <c r="D45" s="728">
        <f>transport!C18</f>
        <v>0</v>
      </c>
      <c r="E45" s="728">
        <f>transport!D18</f>
        <v>3.7829770366624698</v>
      </c>
      <c r="F45" s="728">
        <f>transport!E18</f>
        <v>27.161500285774494</v>
      </c>
      <c r="G45" s="728">
        <f>transport!F18</f>
        <v>0</v>
      </c>
      <c r="H45" s="728">
        <f>transport!G18</f>
        <v>8274.8677521770624</v>
      </c>
      <c r="I45" s="728">
        <f>transport!H18</f>
        <v>1763.8980750999863</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10071.225490948695</v>
      </c>
    </row>
    <row r="46" spans="1:18" ht="15.75" thickBot="1">
      <c r="A46" s="887" t="s">
        <v>230</v>
      </c>
      <c r="B46" s="900"/>
      <c r="C46" s="764">
        <f t="shared" ref="C46:R46" ca="1" si="5">SUM(C43:C45)</f>
        <v>1.5151863492080748</v>
      </c>
      <c r="D46" s="764">
        <f t="shared" ca="1" si="5"/>
        <v>0</v>
      </c>
      <c r="E46" s="764">
        <f t="shared" si="5"/>
        <v>3.7829770366624698</v>
      </c>
      <c r="F46" s="764">
        <f t="shared" si="5"/>
        <v>27.161500285774494</v>
      </c>
      <c r="G46" s="764">
        <f t="shared" si="5"/>
        <v>0</v>
      </c>
      <c r="H46" s="764">
        <f t="shared" si="5"/>
        <v>8393.8663927647322</v>
      </c>
      <c r="I46" s="764">
        <f t="shared" si="5"/>
        <v>1763.8980750999863</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10190.224131536364</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205.28986676633218</v>
      </c>
      <c r="D48" s="719">
        <f ca="1">+landbouw!C12</f>
        <v>3076.8504201680671</v>
      </c>
      <c r="E48" s="719">
        <f>+landbouw!D12</f>
        <v>271.12846028726284</v>
      </c>
      <c r="F48" s="719">
        <f>+landbouw!E12</f>
        <v>2.0509735030045793</v>
      </c>
      <c r="G48" s="719">
        <f>+landbouw!F12</f>
        <v>660.80620879969831</v>
      </c>
      <c r="H48" s="719">
        <f>+landbouw!G12</f>
        <v>0</v>
      </c>
      <c r="I48" s="719">
        <f>+landbouw!H12</f>
        <v>0</v>
      </c>
      <c r="J48" s="719">
        <f>+landbouw!I12</f>
        <v>0</v>
      </c>
      <c r="K48" s="719">
        <f>+landbouw!J12</f>
        <v>52.940350065047248</v>
      </c>
      <c r="L48" s="719">
        <f>+landbouw!K12</f>
        <v>0</v>
      </c>
      <c r="M48" s="719">
        <f>+landbouw!L12</f>
        <v>0</v>
      </c>
      <c r="N48" s="719">
        <f>+landbouw!M12</f>
        <v>0</v>
      </c>
      <c r="O48" s="719">
        <f>+landbouw!N12</f>
        <v>0</v>
      </c>
      <c r="P48" s="719">
        <f>+landbouw!O12</f>
        <v>0</v>
      </c>
      <c r="Q48" s="720">
        <f>+landbouw!P12</f>
        <v>0</v>
      </c>
      <c r="R48" s="762">
        <f ca="1">SUM(C48:Q48)</f>
        <v>4269.0662795894123</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064"/>
      <c r="D50" s="1065"/>
      <c r="E50" s="1065"/>
      <c r="F50" s="1065"/>
      <c r="G50" s="1065"/>
      <c r="H50" s="1065"/>
      <c r="I50" s="1065"/>
      <c r="J50" s="1065"/>
      <c r="K50" s="1065"/>
      <c r="L50" s="1065"/>
      <c r="M50" s="1065"/>
      <c r="N50" s="1065"/>
      <c r="O50" s="1065"/>
      <c r="P50" s="1065"/>
      <c r="Q50" s="1065"/>
      <c r="R50" s="771"/>
    </row>
    <row r="51" spans="1:18" ht="15">
      <c r="A51" s="891" t="s">
        <v>239</v>
      </c>
      <c r="B51" s="876"/>
      <c r="C51" s="1066"/>
      <c r="D51" s="1067"/>
      <c r="E51" s="1067"/>
      <c r="F51" s="1067"/>
      <c r="G51" s="1067"/>
      <c r="H51" s="1067"/>
      <c r="I51" s="1067"/>
      <c r="J51" s="1067"/>
      <c r="K51" s="1067"/>
      <c r="L51" s="1067"/>
      <c r="M51" s="1067"/>
      <c r="N51" s="1067"/>
      <c r="O51" s="1067"/>
      <c r="P51" s="1067"/>
      <c r="Q51" s="1067"/>
      <c r="R51" s="772"/>
    </row>
    <row r="52" spans="1:18" ht="15" thickBot="1">
      <c r="A52" s="903" t="s">
        <v>240</v>
      </c>
      <c r="B52" s="904"/>
      <c r="C52" s="1066"/>
      <c r="D52" s="1067"/>
      <c r="E52" s="1067"/>
      <c r="F52" s="1067"/>
      <c r="G52" s="1067"/>
      <c r="H52" s="1067"/>
      <c r="I52" s="1067"/>
      <c r="J52" s="1067"/>
      <c r="K52" s="1067"/>
      <c r="L52" s="1067"/>
      <c r="M52" s="1067"/>
      <c r="N52" s="1067"/>
      <c r="O52" s="1067"/>
      <c r="P52" s="1067"/>
      <c r="Q52" s="1067"/>
      <c r="R52" s="763"/>
    </row>
    <row r="53" spans="1:18" ht="16.5" thickBot="1">
      <c r="A53" s="907" t="s">
        <v>116</v>
      </c>
      <c r="B53" s="908"/>
      <c r="C53" s="773">
        <f ca="1">C41+C46+C48</f>
        <v>6180.2431494616476</v>
      </c>
      <c r="D53" s="774">
        <f t="shared" ref="D53:Q53" ca="1" si="6">D41+D46+D48</f>
        <v>3085.2529411764704</v>
      </c>
      <c r="E53" s="774">
        <f t="shared" ca="1" si="6"/>
        <v>10735.815063053609</v>
      </c>
      <c r="F53" s="774">
        <f t="shared" si="6"/>
        <v>609.05593816824546</v>
      </c>
      <c r="G53" s="774">
        <f t="shared" ca="1" si="6"/>
        <v>2587.85960073054</v>
      </c>
      <c r="H53" s="774">
        <f t="shared" si="6"/>
        <v>8393.8663927647322</v>
      </c>
      <c r="I53" s="774">
        <f t="shared" si="6"/>
        <v>1763.8980750999863</v>
      </c>
      <c r="J53" s="774">
        <f t="shared" si="6"/>
        <v>0</v>
      </c>
      <c r="K53" s="774">
        <f t="shared" si="6"/>
        <v>320.79955436107713</v>
      </c>
      <c r="L53" s="774">
        <f t="shared" si="6"/>
        <v>0</v>
      </c>
      <c r="M53" s="774">
        <f t="shared" ca="1" si="6"/>
        <v>0</v>
      </c>
      <c r="N53" s="774">
        <f t="shared" si="6"/>
        <v>0</v>
      </c>
      <c r="O53" s="774">
        <f t="shared" ca="1" si="6"/>
        <v>0</v>
      </c>
      <c r="P53" s="774">
        <f>P41+P46+P48</f>
        <v>0</v>
      </c>
      <c r="Q53" s="775">
        <f t="shared" si="6"/>
        <v>0</v>
      </c>
      <c r="R53" s="776">
        <f ca="1">R41+R46+R48</f>
        <v>33676.790714816314</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0.21045426716456359</v>
      </c>
      <c r="D55" s="837">
        <f t="shared" ca="1" si="7"/>
        <v>0.23764705882352943</v>
      </c>
      <c r="E55" s="837">
        <f t="shared" ca="1" si="7"/>
        <v>0.20199999999999999</v>
      </c>
      <c r="F55" s="837">
        <f t="shared" si="7"/>
        <v>0.22700000000000004</v>
      </c>
      <c r="G55" s="837">
        <f t="shared" ca="1" si="7"/>
        <v>0.26700000000000002</v>
      </c>
      <c r="H55" s="837">
        <f t="shared" si="7"/>
        <v>0.26699999999999996</v>
      </c>
      <c r="I55" s="837">
        <f t="shared" si="7"/>
        <v>0.24899999999999997</v>
      </c>
      <c r="J55" s="837">
        <f t="shared" si="7"/>
        <v>0</v>
      </c>
      <c r="K55" s="837">
        <f t="shared" si="7"/>
        <v>0.35399999999999998</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032"/>
      <c r="B59" s="1032"/>
      <c r="C59" s="1032"/>
      <c r="D59" s="1032"/>
      <c r="E59" s="1032"/>
      <c r="F59" s="1032"/>
      <c r="G59" s="1032"/>
      <c r="H59" s="1032"/>
      <c r="I59" s="1032"/>
      <c r="J59" s="1032"/>
      <c r="K59" s="1032"/>
      <c r="L59" s="1032"/>
      <c r="M59" s="1032"/>
      <c r="N59" s="1032"/>
      <c r="O59" s="1032"/>
      <c r="P59" s="1032"/>
      <c r="Q59" s="103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033" t="s">
        <v>241</v>
      </c>
      <c r="B61" s="1047" t="s">
        <v>351</v>
      </c>
      <c r="C61" s="1039"/>
      <c r="D61" s="1036" t="s">
        <v>352</v>
      </c>
      <c r="E61" s="1037"/>
      <c r="F61" s="1037"/>
      <c r="G61" s="1037"/>
      <c r="H61" s="1037"/>
      <c r="I61" s="1037"/>
      <c r="J61" s="1037"/>
      <c r="K61" s="1037"/>
      <c r="L61" s="1037"/>
      <c r="M61" s="1038"/>
      <c r="N61" s="1039" t="s">
        <v>657</v>
      </c>
      <c r="O61" s="1072" t="s">
        <v>656</v>
      </c>
      <c r="P61" s="1073"/>
      <c r="Q61" s="786"/>
      <c r="R61" s="743"/>
    </row>
    <row r="62" spans="1:18" ht="31.5" thickTop="1" thickBot="1">
      <c r="A62" s="1034"/>
      <c r="B62" s="1071"/>
      <c r="C62" s="1041"/>
      <c r="D62" s="1068" t="s">
        <v>197</v>
      </c>
      <c r="E62" s="1069"/>
      <c r="F62" s="1069"/>
      <c r="G62" s="1069"/>
      <c r="H62" s="1070"/>
      <c r="I62" s="787" t="s">
        <v>245</v>
      </c>
      <c r="J62" s="788" t="s">
        <v>246</v>
      </c>
      <c r="K62" s="788" t="s">
        <v>234</v>
      </c>
      <c r="L62" s="788" t="s">
        <v>247</v>
      </c>
      <c r="M62" s="1053" t="s">
        <v>127</v>
      </c>
      <c r="N62" s="1040"/>
      <c r="O62" s="927"/>
      <c r="P62" s="928"/>
      <c r="Q62" s="786"/>
      <c r="R62" s="743"/>
    </row>
    <row r="63" spans="1:18" ht="95.25" customHeight="1" thickTop="1" thickBot="1">
      <c r="A63" s="1035"/>
      <c r="B63" s="855" t="s">
        <v>565</v>
      </c>
      <c r="C63" s="855" t="s">
        <v>655</v>
      </c>
      <c r="D63" s="789" t="s">
        <v>199</v>
      </c>
      <c r="E63" s="790" t="s">
        <v>200</v>
      </c>
      <c r="F63" s="791" t="s">
        <v>201</v>
      </c>
      <c r="G63" s="792" t="s">
        <v>203</v>
      </c>
      <c r="H63" s="793" t="s">
        <v>204</v>
      </c>
      <c r="I63" s="794"/>
      <c r="J63" s="790"/>
      <c r="K63" s="790"/>
      <c r="L63" s="790"/>
      <c r="M63" s="1077"/>
      <c r="N63" s="1041"/>
      <c r="O63" s="858" t="s">
        <v>658</v>
      </c>
      <c r="P63" s="856" t="s">
        <v>659</v>
      </c>
      <c r="Q63" s="786"/>
      <c r="R63" s="743"/>
    </row>
    <row r="64" spans="1:18" ht="15.75" thickTop="1">
      <c r="A64" s="795" t="s">
        <v>249</v>
      </c>
      <c r="B64" s="909">
        <f>'lokale energieproductie'!B4</f>
        <v>0</v>
      </c>
      <c r="C64" s="796">
        <f>'lokale energieproductie'!B4</f>
        <v>0</v>
      </c>
      <c r="D64" s="1078"/>
      <c r="E64" s="1055"/>
      <c r="F64" s="1055"/>
      <c r="G64" s="1058"/>
      <c r="H64" s="1061"/>
      <c r="I64" s="797"/>
      <c r="J64" s="797"/>
      <c r="K64" s="797"/>
      <c r="L64" s="797"/>
      <c r="M64" s="1074"/>
      <c r="N64" s="922">
        <v>0</v>
      </c>
      <c r="O64" s="929"/>
      <c r="P64" s="922">
        <v>0</v>
      </c>
      <c r="Q64" s="786"/>
      <c r="R64" s="784"/>
    </row>
    <row r="65" spans="1:18" ht="15">
      <c r="A65" s="798" t="s">
        <v>250</v>
      </c>
      <c r="B65" s="795">
        <f>'lokale energieproductie'!B5</f>
        <v>0</v>
      </c>
      <c r="C65" s="796">
        <f>'lokale energieproductie'!B5</f>
        <v>0</v>
      </c>
      <c r="D65" s="1079"/>
      <c r="E65" s="1056"/>
      <c r="F65" s="1056"/>
      <c r="G65" s="1059"/>
      <c r="H65" s="1062"/>
      <c r="I65" s="799"/>
      <c r="J65" s="799"/>
      <c r="K65" s="799"/>
      <c r="L65" s="799"/>
      <c r="M65" s="1075"/>
      <c r="N65" s="923">
        <v>0</v>
      </c>
      <c r="O65" s="929"/>
      <c r="P65" s="923">
        <v>0</v>
      </c>
      <c r="Q65" s="786"/>
      <c r="R65" s="749"/>
    </row>
    <row r="66" spans="1:18" ht="15">
      <c r="A66" s="798" t="s">
        <v>251</v>
      </c>
      <c r="B66" s="795">
        <f>'lokale energieproductie'!B6</f>
        <v>2085.8482397418629</v>
      </c>
      <c r="C66" s="796">
        <f>'lokale energieproductie'!B6</f>
        <v>2085.8482397418629</v>
      </c>
      <c r="D66" s="1080"/>
      <c r="E66" s="1057"/>
      <c r="F66" s="1057"/>
      <c r="G66" s="1060"/>
      <c r="H66" s="1063"/>
      <c r="I66" s="800"/>
      <c r="J66" s="800"/>
      <c r="K66" s="800"/>
      <c r="L66" s="800"/>
      <c r="M66" s="1076"/>
      <c r="N66" s="923">
        <v>0</v>
      </c>
      <c r="O66" s="929"/>
      <c r="P66" s="923">
        <v>0</v>
      </c>
      <c r="Q66" s="786"/>
      <c r="R66" s="784"/>
    </row>
    <row r="67" spans="1:18" ht="15">
      <c r="A67" s="801" t="s">
        <v>252</v>
      </c>
      <c r="B67" s="795">
        <f>'lokale energieproductie'!B7</f>
        <v>9087.7499999999982</v>
      </c>
      <c r="C67" s="795">
        <f>B67*IFERROR(SUM(J67:L67)/SUM(D67:M67),0)</f>
        <v>0</v>
      </c>
      <c r="D67" s="827">
        <f>'lokale energieproductie'!C7</f>
        <v>10691.470588235292</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0</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2159.677058823529</v>
      </c>
      <c r="P67" s="923">
        <v>0</v>
      </c>
      <c r="Q67" s="786"/>
      <c r="R67" s="743"/>
    </row>
    <row r="68" spans="1:18" ht="30.75" thickBot="1">
      <c r="A68" s="802" t="s">
        <v>353</v>
      </c>
      <c r="B68" s="795">
        <f>'lokale energieproductie'!B8</f>
        <v>0</v>
      </c>
      <c r="C68" s="795">
        <f>B68*IFERROR(SUM(J68:L68)/SUM(D68:M68),0)</f>
        <v>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11173.598239741861</v>
      </c>
      <c r="C69" s="804">
        <f>SUM(C64:C68)</f>
        <v>2085.8482397418629</v>
      </c>
      <c r="D69" s="805">
        <f t="shared" ref="D69:M69" si="8">SUM(D67:D68)</f>
        <v>10691.470588235292</v>
      </c>
      <c r="E69" s="805">
        <f t="shared" si="8"/>
        <v>0</v>
      </c>
      <c r="F69" s="805">
        <f t="shared" si="8"/>
        <v>0</v>
      </c>
      <c r="G69" s="805">
        <f t="shared" si="8"/>
        <v>0</v>
      </c>
      <c r="H69" s="805">
        <f t="shared" si="8"/>
        <v>0</v>
      </c>
      <c r="I69" s="805">
        <f t="shared" si="8"/>
        <v>0</v>
      </c>
      <c r="J69" s="805">
        <f t="shared" si="8"/>
        <v>0</v>
      </c>
      <c r="K69" s="805">
        <f t="shared" si="8"/>
        <v>0</v>
      </c>
      <c r="L69" s="805">
        <f t="shared" si="8"/>
        <v>0</v>
      </c>
      <c r="M69" s="931">
        <f t="shared" si="8"/>
        <v>0</v>
      </c>
      <c r="N69" s="806">
        <v>0</v>
      </c>
      <c r="O69" s="806">
        <f>SUM(O67:O68)</f>
        <v>2159.677058823529</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032"/>
      <c r="B73" s="1032"/>
      <c r="C73" s="1032"/>
      <c r="D73" s="1032"/>
      <c r="E73" s="1032"/>
      <c r="F73" s="1032"/>
      <c r="G73" s="1032"/>
      <c r="H73" s="1032"/>
      <c r="I73" s="1032"/>
      <c r="J73" s="1032"/>
      <c r="K73" s="1032"/>
      <c r="L73" s="1032"/>
      <c r="M73" s="1032"/>
      <c r="N73" s="1032"/>
      <c r="O73" s="1032"/>
      <c r="P73" s="103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033" t="s">
        <v>253</v>
      </c>
      <c r="B75" s="1047" t="s">
        <v>355</v>
      </c>
      <c r="C75" s="1039"/>
      <c r="D75" s="1036" t="s">
        <v>356</v>
      </c>
      <c r="E75" s="1037"/>
      <c r="F75" s="1037"/>
      <c r="G75" s="1037"/>
      <c r="H75" s="1037"/>
      <c r="I75" s="1037"/>
      <c r="J75" s="1037"/>
      <c r="K75" s="1037"/>
      <c r="L75" s="1037"/>
      <c r="M75" s="1038"/>
      <c r="N75" s="1039" t="s">
        <v>657</v>
      </c>
      <c r="O75" s="1047" t="s">
        <v>656</v>
      </c>
      <c r="P75" s="1039"/>
      <c r="Q75" s="813"/>
      <c r="R75" s="743"/>
    </row>
    <row r="76" spans="1:18" ht="16.5" thickTop="1" thickBot="1">
      <c r="A76" s="1034"/>
      <c r="B76" s="1048"/>
      <c r="C76" s="1040"/>
      <c r="D76" s="1042" t="s">
        <v>197</v>
      </c>
      <c r="E76" s="1043"/>
      <c r="F76" s="1043"/>
      <c r="G76" s="1043"/>
      <c r="H76" s="1044"/>
      <c r="I76" s="1045" t="s">
        <v>245</v>
      </c>
      <c r="J76" s="1045" t="s">
        <v>246</v>
      </c>
      <c r="K76" s="1049" t="s">
        <v>234</v>
      </c>
      <c r="L76" s="1051" t="s">
        <v>257</v>
      </c>
      <c r="M76" s="1053" t="s">
        <v>127</v>
      </c>
      <c r="N76" s="1040"/>
      <c r="O76" s="927"/>
      <c r="P76" s="928"/>
      <c r="Q76" s="813"/>
      <c r="R76" s="743"/>
    </row>
    <row r="77" spans="1:18" ht="110.25" customHeight="1" thickTop="1" thickBot="1">
      <c r="A77" s="1035"/>
      <c r="B77" s="910" t="s">
        <v>565</v>
      </c>
      <c r="C77" s="910" t="s">
        <v>655</v>
      </c>
      <c r="D77" s="814" t="s">
        <v>199</v>
      </c>
      <c r="E77" s="790" t="s">
        <v>200</v>
      </c>
      <c r="F77" s="815" t="s">
        <v>201</v>
      </c>
      <c r="G77" s="790" t="s">
        <v>203</v>
      </c>
      <c r="H77" s="816" t="s">
        <v>204</v>
      </c>
      <c r="I77" s="1046"/>
      <c r="J77" s="1046"/>
      <c r="K77" s="1050"/>
      <c r="L77" s="1052"/>
      <c r="M77" s="1054"/>
      <c r="N77" s="1041"/>
      <c r="O77" s="858" t="s">
        <v>658</v>
      </c>
      <c r="P77" s="856" t="s">
        <v>659</v>
      </c>
      <c r="Q77" s="813"/>
      <c r="R77" s="743"/>
    </row>
    <row r="78" spans="1:18" ht="15.75" thickTop="1">
      <c r="A78" s="817" t="s">
        <v>252</v>
      </c>
      <c r="B78" s="818">
        <f>'lokale energieproductie'!B16</f>
        <v>12982.499999999998</v>
      </c>
      <c r="C78" s="818">
        <f>B78*IFERROR(SUM(I78:L78)/SUM(D78:M78),0)</f>
        <v>0</v>
      </c>
      <c r="D78" s="833">
        <f>'lokale energieproductie'!C16</f>
        <v>15273.529411764704</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0</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3085.2529411764704</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12982.499999999998</v>
      </c>
      <c r="C81" s="804">
        <f>SUM(C78:C80)</f>
        <v>0</v>
      </c>
      <c r="D81" s="804">
        <f t="shared" ref="D81:P81" si="9">SUM(D78:D80)</f>
        <v>15273.529411764704</v>
      </c>
      <c r="E81" s="804">
        <f t="shared" si="9"/>
        <v>0</v>
      </c>
      <c r="F81" s="804">
        <f t="shared" si="9"/>
        <v>0</v>
      </c>
      <c r="G81" s="804">
        <f t="shared" si="9"/>
        <v>0</v>
      </c>
      <c r="H81" s="804">
        <f t="shared" si="9"/>
        <v>0</v>
      </c>
      <c r="I81" s="804">
        <f t="shared" si="9"/>
        <v>0</v>
      </c>
      <c r="J81" s="804">
        <f t="shared" si="9"/>
        <v>0</v>
      </c>
      <c r="K81" s="804">
        <f t="shared" si="9"/>
        <v>0</v>
      </c>
      <c r="L81" s="804">
        <f t="shared" si="9"/>
        <v>0</v>
      </c>
      <c r="M81" s="804">
        <f t="shared" si="9"/>
        <v>0</v>
      </c>
      <c r="N81" s="804">
        <v>0</v>
      </c>
      <c r="O81" s="804">
        <f>SUM(O78:O80)</f>
        <v>3085.2529411764704</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11" t="s">
        <v>560</v>
      </c>
      <c r="B1" s="1112" t="s">
        <v>556</v>
      </c>
      <c r="C1" s="1112"/>
      <c r="D1" s="1112"/>
      <c r="E1" s="1112"/>
      <c r="F1" s="1112"/>
      <c r="G1" s="1112"/>
      <c r="H1" s="1112"/>
      <c r="I1" s="1112"/>
      <c r="J1" s="1112"/>
      <c r="K1" s="1112"/>
      <c r="L1" s="1112"/>
      <c r="M1" s="1112"/>
      <c r="N1" s="1112"/>
      <c r="O1" s="1112"/>
      <c r="P1" s="1113"/>
      <c r="Q1" s="476"/>
    </row>
    <row r="2" spans="1:17">
      <c r="A2" s="1111"/>
      <c r="B2" s="1114" t="s">
        <v>21</v>
      </c>
      <c r="C2" s="1116" t="s">
        <v>196</v>
      </c>
      <c r="D2" s="1118" t="s">
        <v>197</v>
      </c>
      <c r="E2" s="1119"/>
      <c r="F2" s="1119"/>
      <c r="G2" s="1119"/>
      <c r="H2" s="1119"/>
      <c r="I2" s="1119"/>
      <c r="J2" s="1119"/>
      <c r="K2" s="1115"/>
      <c r="L2" s="1118" t="s">
        <v>198</v>
      </c>
      <c r="M2" s="1119"/>
      <c r="N2" s="1119"/>
      <c r="O2" s="1119"/>
      <c r="P2" s="1115"/>
      <c r="Q2" s="476"/>
    </row>
    <row r="3" spans="1:17" ht="45">
      <c r="A3" s="1111"/>
      <c r="B3" s="1115"/>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14806.522835626211</v>
      </c>
      <c r="C4" s="479">
        <f>huishoudens!C8</f>
        <v>0</v>
      </c>
      <c r="D4" s="479">
        <f>huishoudens!D8</f>
        <v>39670.409282809203</v>
      </c>
      <c r="E4" s="479">
        <f>huishoudens!E8</f>
        <v>2111.0913785762186</v>
      </c>
      <c r="F4" s="479">
        <f>huishoudens!F8</f>
        <v>4088.7983163288809</v>
      </c>
      <c r="G4" s="479">
        <f>huishoudens!G8</f>
        <v>0</v>
      </c>
      <c r="H4" s="479">
        <f>huishoudens!H8</f>
        <v>0</v>
      </c>
      <c r="I4" s="479">
        <f>huishoudens!I8</f>
        <v>0</v>
      </c>
      <c r="J4" s="479">
        <f>huishoudens!J8</f>
        <v>735.14127642357062</v>
      </c>
      <c r="K4" s="479">
        <f>huishoudens!K8</f>
        <v>0</v>
      </c>
      <c r="L4" s="479">
        <f>huishoudens!L8</f>
        <v>0</v>
      </c>
      <c r="M4" s="479">
        <f>huishoudens!M8</f>
        <v>0</v>
      </c>
      <c r="N4" s="479">
        <f>huishoudens!N8</f>
        <v>6564.7632905807141</v>
      </c>
      <c r="O4" s="479">
        <f>huishoudens!O8</f>
        <v>103.17999999999999</v>
      </c>
      <c r="P4" s="480">
        <f>huishoudens!P8</f>
        <v>286</v>
      </c>
      <c r="Q4" s="481">
        <f>SUM(B4:P4)</f>
        <v>68365.906380344793</v>
      </c>
    </row>
    <row r="5" spans="1:17">
      <c r="A5" s="478" t="s">
        <v>156</v>
      </c>
      <c r="B5" s="479">
        <f ca="1">tertiair!B16</f>
        <v>8763.5371100000011</v>
      </c>
      <c r="C5" s="479">
        <f ca="1">tertiair!C16</f>
        <v>35.357142857142861</v>
      </c>
      <c r="D5" s="479">
        <f ca="1">tertiair!D16</f>
        <v>10409.683684454209</v>
      </c>
      <c r="E5" s="479">
        <f>tertiair!E16</f>
        <v>94.779140335527927</v>
      </c>
      <c r="F5" s="479">
        <f ca="1">tertiair!F16</f>
        <v>1295.2422745988615</v>
      </c>
      <c r="G5" s="479">
        <f>tertiair!G16</f>
        <v>0</v>
      </c>
      <c r="H5" s="479">
        <f>tertiair!H16</f>
        <v>0</v>
      </c>
      <c r="I5" s="479">
        <f>tertiair!I16</f>
        <v>0</v>
      </c>
      <c r="J5" s="479">
        <f>tertiair!J16</f>
        <v>0</v>
      </c>
      <c r="K5" s="479">
        <f>tertiair!K16</f>
        <v>0</v>
      </c>
      <c r="L5" s="479">
        <f ca="1">tertiair!L16</f>
        <v>0</v>
      </c>
      <c r="M5" s="479">
        <f>tertiair!M16</f>
        <v>0</v>
      </c>
      <c r="N5" s="479">
        <f ca="1">tertiair!N16</f>
        <v>857.8900263037192</v>
      </c>
      <c r="O5" s="479">
        <f>tertiair!O16</f>
        <v>3.1266666666666669</v>
      </c>
      <c r="P5" s="480">
        <f>tertiair!P16</f>
        <v>19.066666666666666</v>
      </c>
      <c r="Q5" s="478">
        <f t="shared" ref="Q5:Q13" ca="1" si="0">SUM(B5:P5)</f>
        <v>21478.682711882797</v>
      </c>
    </row>
    <row r="6" spans="1:17">
      <c r="A6" s="478" t="s">
        <v>194</v>
      </c>
      <c r="B6" s="479">
        <f>'openbare verlichting'!B8</f>
        <v>439.327</v>
      </c>
      <c r="C6" s="479"/>
      <c r="D6" s="479"/>
      <c r="E6" s="479"/>
      <c r="F6" s="479"/>
      <c r="G6" s="479"/>
      <c r="H6" s="479"/>
      <c r="I6" s="479"/>
      <c r="J6" s="479"/>
      <c r="K6" s="479"/>
      <c r="L6" s="479"/>
      <c r="M6" s="479"/>
      <c r="N6" s="479"/>
      <c r="O6" s="479"/>
      <c r="P6" s="480"/>
      <c r="Q6" s="478">
        <f t="shared" si="0"/>
        <v>439.327</v>
      </c>
    </row>
    <row r="7" spans="1:17">
      <c r="A7" s="478" t="s">
        <v>112</v>
      </c>
      <c r="B7" s="479">
        <f>landbouw!B8</f>
        <v>975.46069999999997</v>
      </c>
      <c r="C7" s="479">
        <f>landbouw!C8</f>
        <v>12947.142857142855</v>
      </c>
      <c r="D7" s="479">
        <f>landbouw!D8</f>
        <v>1342.2201004319941</v>
      </c>
      <c r="E7" s="479">
        <f>landbouw!E8</f>
        <v>9.0351255638968251</v>
      </c>
      <c r="F7" s="479">
        <f>landbouw!F8</f>
        <v>2474.9296209726526</v>
      </c>
      <c r="G7" s="479">
        <f>landbouw!G8</f>
        <v>0</v>
      </c>
      <c r="H7" s="479">
        <f>landbouw!H8</f>
        <v>0</v>
      </c>
      <c r="I7" s="479">
        <f>landbouw!I8</f>
        <v>0</v>
      </c>
      <c r="J7" s="479">
        <f>landbouw!J8</f>
        <v>149.54901148318433</v>
      </c>
      <c r="K7" s="479">
        <f>landbouw!K8</f>
        <v>0</v>
      </c>
      <c r="L7" s="479">
        <f>landbouw!L8</f>
        <v>0</v>
      </c>
      <c r="M7" s="479">
        <f>landbouw!M8</f>
        <v>0</v>
      </c>
      <c r="N7" s="479">
        <f>landbouw!N8</f>
        <v>0</v>
      </c>
      <c r="O7" s="479">
        <f>landbouw!O8</f>
        <v>0</v>
      </c>
      <c r="P7" s="480">
        <f>landbouw!P8</f>
        <v>0</v>
      </c>
      <c r="Q7" s="478">
        <f t="shared" si="0"/>
        <v>17898.337415594582</v>
      </c>
    </row>
    <row r="8" spans="1:17">
      <c r="A8" s="478" t="s">
        <v>650</v>
      </c>
      <c r="B8" s="479">
        <f>industrie!B18</f>
        <v>4374.1577399999996</v>
      </c>
      <c r="C8" s="479">
        <f>industrie!C18</f>
        <v>0</v>
      </c>
      <c r="D8" s="479">
        <f>industrie!D18</f>
        <v>1706.5586452597802</v>
      </c>
      <c r="E8" s="479">
        <f>industrie!E18</f>
        <v>348.50597615198188</v>
      </c>
      <c r="F8" s="479">
        <f>industrie!F18</f>
        <v>1833.3878432701667</v>
      </c>
      <c r="G8" s="479">
        <f>industrie!G18</f>
        <v>0</v>
      </c>
      <c r="H8" s="479">
        <f>industrie!H18</f>
        <v>0</v>
      </c>
      <c r="I8" s="479">
        <f>industrie!I18</f>
        <v>0</v>
      </c>
      <c r="J8" s="479">
        <f>industrie!J18</f>
        <v>21.523142491767956</v>
      </c>
      <c r="K8" s="479">
        <f>industrie!K18</f>
        <v>0</v>
      </c>
      <c r="L8" s="479">
        <f>industrie!L18</f>
        <v>0</v>
      </c>
      <c r="M8" s="479">
        <f>industrie!M18</f>
        <v>0</v>
      </c>
      <c r="N8" s="479">
        <f>industrie!N18</f>
        <v>1003.5105089574213</v>
      </c>
      <c r="O8" s="479">
        <f>industrie!O18</f>
        <v>0</v>
      </c>
      <c r="P8" s="480">
        <f>industrie!P18</f>
        <v>0</v>
      </c>
      <c r="Q8" s="478">
        <f t="shared" si="0"/>
        <v>9287.643856131117</v>
      </c>
    </row>
    <row r="9" spans="1:17" s="484" customFormat="1">
      <c r="A9" s="482" t="s">
        <v>571</v>
      </c>
      <c r="B9" s="483">
        <f>transport!B14</f>
        <v>7.1995990845045839</v>
      </c>
      <c r="C9" s="483">
        <f>transport!C14</f>
        <v>0</v>
      </c>
      <c r="D9" s="483">
        <f>transport!D14</f>
        <v>18.727609092388462</v>
      </c>
      <c r="E9" s="483">
        <f>transport!E14</f>
        <v>119.6541862809449</v>
      </c>
      <c r="F9" s="483">
        <f>transport!F14</f>
        <v>0</v>
      </c>
      <c r="G9" s="483">
        <f>transport!G14</f>
        <v>30992.014053097613</v>
      </c>
      <c r="H9" s="483">
        <f>transport!H14</f>
        <v>7083.9280124497445</v>
      </c>
      <c r="I9" s="483">
        <f>transport!I14</f>
        <v>0</v>
      </c>
      <c r="J9" s="483">
        <f>transport!J14</f>
        <v>0</v>
      </c>
      <c r="K9" s="483">
        <f>transport!K14</f>
        <v>0</v>
      </c>
      <c r="L9" s="483">
        <f>transport!L14</f>
        <v>0</v>
      </c>
      <c r="M9" s="483">
        <f>transport!M14</f>
        <v>2010.8185539589404</v>
      </c>
      <c r="N9" s="483">
        <f>transport!N14</f>
        <v>0</v>
      </c>
      <c r="O9" s="483">
        <f>transport!O14</f>
        <v>0</v>
      </c>
      <c r="P9" s="483">
        <f>transport!P14</f>
        <v>0</v>
      </c>
      <c r="Q9" s="482">
        <f>SUM(B9:P9)</f>
        <v>40232.342013964131</v>
      </c>
    </row>
    <row r="10" spans="1:17">
      <c r="A10" s="478" t="s">
        <v>561</v>
      </c>
      <c r="B10" s="479">
        <f>transport!B54</f>
        <v>0</v>
      </c>
      <c r="C10" s="479">
        <f>transport!C54</f>
        <v>0</v>
      </c>
      <c r="D10" s="479">
        <f>transport!D54</f>
        <v>0</v>
      </c>
      <c r="E10" s="479">
        <f>transport!E54</f>
        <v>0</v>
      </c>
      <c r="F10" s="479">
        <f>transport!F54</f>
        <v>0</v>
      </c>
      <c r="G10" s="479">
        <f>transport!G54</f>
        <v>445.68779246318371</v>
      </c>
      <c r="H10" s="479">
        <f>transport!H54</f>
        <v>0</v>
      </c>
      <c r="I10" s="479">
        <f>transport!I54</f>
        <v>0</v>
      </c>
      <c r="J10" s="479">
        <f>transport!J54</f>
        <v>0</v>
      </c>
      <c r="K10" s="479">
        <f>transport!K54</f>
        <v>0</v>
      </c>
      <c r="L10" s="479">
        <f>transport!L54</f>
        <v>0</v>
      </c>
      <c r="M10" s="479">
        <f>transport!M54</f>
        <v>25.416275554075177</v>
      </c>
      <c r="N10" s="479">
        <f>transport!N54</f>
        <v>0</v>
      </c>
      <c r="O10" s="479">
        <f>transport!O54</f>
        <v>0</v>
      </c>
      <c r="P10" s="480">
        <f>transport!P54</f>
        <v>0</v>
      </c>
      <c r="Q10" s="478">
        <f t="shared" si="0"/>
        <v>471.1040680172589</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f>'Eigen vloot'!C27</f>
        <v>0</v>
      </c>
      <c r="D13" s="486">
        <f>'Eigen vloot'!D27</f>
        <v>0</v>
      </c>
      <c r="E13" s="486">
        <f>'Eigen vloot'!E27</f>
        <v>0</v>
      </c>
      <c r="F13" s="486">
        <f>'Eigen vloot'!F27</f>
        <v>0</v>
      </c>
      <c r="G13" s="486">
        <f>'Eigen vloot'!G27</f>
        <v>0</v>
      </c>
      <c r="H13" s="486">
        <f>'Eigen vloot'!H27</f>
        <v>0</v>
      </c>
      <c r="I13" s="486">
        <f>'Eigen vloot'!I27</f>
        <v>0</v>
      </c>
      <c r="J13" s="486">
        <f>'Eigen vloot'!J27</f>
        <v>0</v>
      </c>
      <c r="K13" s="486">
        <f>'Eigen vloot'!K27</f>
        <v>0</v>
      </c>
      <c r="L13" s="486">
        <f>'Eigen vloot'!L27</f>
        <v>0</v>
      </c>
      <c r="M13" s="486">
        <f>'Eigen vloot'!M27</f>
        <v>0</v>
      </c>
      <c r="N13" s="486">
        <f>'Eigen vloot'!N27</f>
        <v>0</v>
      </c>
      <c r="O13" s="486">
        <f>'Eigen vloot'!O27</f>
        <v>0</v>
      </c>
      <c r="P13" s="487">
        <f>'Eigen vloot'!P27</f>
        <v>0</v>
      </c>
      <c r="Q13" s="485">
        <f t="shared" si="0"/>
        <v>0</v>
      </c>
    </row>
    <row r="14" spans="1:17" s="491" customFormat="1">
      <c r="A14" s="488" t="s">
        <v>565</v>
      </c>
      <c r="B14" s="489">
        <f ca="1">SUM(B4:B13)</f>
        <v>29366.204984710719</v>
      </c>
      <c r="C14" s="489">
        <f t="shared" ref="C14:Q14" ca="1" si="1">SUM(C4:C13)</f>
        <v>12982.499999999998</v>
      </c>
      <c r="D14" s="489">
        <f t="shared" ca="1" si="1"/>
        <v>53147.599322047572</v>
      </c>
      <c r="E14" s="489">
        <f t="shared" si="1"/>
        <v>2683.0658069085698</v>
      </c>
      <c r="F14" s="489">
        <f t="shared" ca="1" si="1"/>
        <v>9692.3580551705618</v>
      </c>
      <c r="G14" s="489">
        <f t="shared" si="1"/>
        <v>31437.701845560798</v>
      </c>
      <c r="H14" s="489">
        <f t="shared" si="1"/>
        <v>7083.9280124497445</v>
      </c>
      <c r="I14" s="489">
        <f t="shared" si="1"/>
        <v>0</v>
      </c>
      <c r="J14" s="489">
        <f t="shared" si="1"/>
        <v>906.21343039852297</v>
      </c>
      <c r="K14" s="489">
        <f t="shared" si="1"/>
        <v>0</v>
      </c>
      <c r="L14" s="489">
        <f t="shared" ca="1" si="1"/>
        <v>0</v>
      </c>
      <c r="M14" s="489">
        <f t="shared" si="1"/>
        <v>2036.2348295130155</v>
      </c>
      <c r="N14" s="489">
        <f t="shared" ca="1" si="1"/>
        <v>8426.1638258418552</v>
      </c>
      <c r="O14" s="489">
        <f t="shared" si="1"/>
        <v>106.30666666666666</v>
      </c>
      <c r="P14" s="490">
        <f t="shared" si="1"/>
        <v>305.06666666666666</v>
      </c>
      <c r="Q14" s="490">
        <f t="shared" ca="1" si="1"/>
        <v>158173.34344593468</v>
      </c>
    </row>
    <row r="16" spans="1:17">
      <c r="A16" s="492" t="s">
        <v>566</v>
      </c>
      <c r="B16" s="842">
        <f ca="1">huishoudens!B10</f>
        <v>0.21045426716456356</v>
      </c>
      <c r="C16" s="842">
        <f ca="1">huishoudens!C10</f>
        <v>0.23764705882352943</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11" t="s">
        <v>568</v>
      </c>
      <c r="B18" s="1112" t="s">
        <v>567</v>
      </c>
      <c r="C18" s="1112"/>
      <c r="D18" s="1112"/>
      <c r="E18" s="1112"/>
      <c r="F18" s="1112"/>
      <c r="G18" s="1112"/>
      <c r="H18" s="1112"/>
      <c r="I18" s="1112"/>
      <c r="J18" s="1112"/>
      <c r="K18" s="1112"/>
      <c r="L18" s="1112"/>
      <c r="M18" s="1112"/>
      <c r="N18" s="1112"/>
      <c r="O18" s="1112"/>
      <c r="P18" s="1113"/>
      <c r="Q18" s="476"/>
    </row>
    <row r="19" spans="1:17" ht="15" customHeight="1">
      <c r="A19" s="1111"/>
      <c r="B19" s="1114" t="s">
        <v>21</v>
      </c>
      <c r="C19" s="1116" t="s">
        <v>196</v>
      </c>
      <c r="D19" s="1118" t="s">
        <v>197</v>
      </c>
      <c r="E19" s="1119"/>
      <c r="F19" s="1119"/>
      <c r="G19" s="1119"/>
      <c r="H19" s="1119"/>
      <c r="I19" s="1119"/>
      <c r="J19" s="1119"/>
      <c r="K19" s="1115"/>
      <c r="L19" s="1118" t="s">
        <v>198</v>
      </c>
      <c r="M19" s="1119"/>
      <c r="N19" s="1119"/>
      <c r="O19" s="1119"/>
      <c r="P19" s="1115"/>
      <c r="Q19" s="476"/>
    </row>
    <row r="20" spans="1:17" ht="45">
      <c r="A20" s="1111"/>
      <c r="B20" s="1115"/>
      <c r="C20" s="111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3116.0959126270895</v>
      </c>
      <c r="C21" s="479">
        <f t="shared" ref="C21:C30" ca="1" si="3">C4*$C$16</f>
        <v>0</v>
      </c>
      <c r="D21" s="479">
        <f t="shared" ref="D21:D30" si="4">D4*$D$16</f>
        <v>8013.42267512746</v>
      </c>
      <c r="E21" s="479">
        <f t="shared" ref="E21:E30" si="5">E4*$E$16</f>
        <v>479.21774293680164</v>
      </c>
      <c r="F21" s="479">
        <f t="shared" ref="F21:F30" si="6">F4*$F$16</f>
        <v>1091.7091504598113</v>
      </c>
      <c r="G21" s="479">
        <f t="shared" ref="G21:G30" si="7">G4*$G$16</f>
        <v>0</v>
      </c>
      <c r="H21" s="479">
        <f t="shared" ref="H21:H30" si="8">H4*$H$16</f>
        <v>0</v>
      </c>
      <c r="I21" s="479">
        <f t="shared" ref="I21:I30" si="9">I4*$I$16</f>
        <v>0</v>
      </c>
      <c r="J21" s="479">
        <f t="shared" ref="J21:J30" si="10">J4*$J$16</f>
        <v>260.240011853944</v>
      </c>
      <c r="K21" s="479">
        <f t="shared" ref="K21:K30" si="11">K4*$K$16</f>
        <v>0</v>
      </c>
      <c r="L21" s="479">
        <f t="shared" ref="L21:L30" si="12">L4*$L$16</f>
        <v>0</v>
      </c>
      <c r="M21" s="479">
        <f t="shared" ref="M21:M30" si="13">M4*$M$16</f>
        <v>0</v>
      </c>
      <c r="N21" s="479">
        <f t="shared" ref="N21:N30" si="14">N4*$N$16</f>
        <v>0</v>
      </c>
      <c r="O21" s="479">
        <f t="shared" ref="O21:O30" si="15">O4*$O$16</f>
        <v>0</v>
      </c>
      <c r="P21" s="493">
        <f t="shared" ref="P21:P30" si="16">P4*$P$16</f>
        <v>0</v>
      </c>
      <c r="Q21" s="481">
        <f ca="1">SUM(B21:P21)</f>
        <v>12960.685493005109</v>
      </c>
    </row>
    <row r="22" spans="1:17">
      <c r="A22" s="478" t="s">
        <v>156</v>
      </c>
      <c r="B22" s="479">
        <f t="shared" ca="1" si="2"/>
        <v>1844.3237802545075</v>
      </c>
      <c r="C22" s="479">
        <f t="shared" ca="1" si="3"/>
        <v>8.4025210084033635</v>
      </c>
      <c r="D22" s="479">
        <f t="shared" ca="1" si="4"/>
        <v>2102.7561042597504</v>
      </c>
      <c r="E22" s="479">
        <f t="shared" si="5"/>
        <v>21.514864856164841</v>
      </c>
      <c r="F22" s="479">
        <f t="shared" ca="1" si="6"/>
        <v>345.82968731789606</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4322.8269576967214</v>
      </c>
    </row>
    <row r="23" spans="1:17">
      <c r="A23" s="478" t="s">
        <v>194</v>
      </c>
      <c r="B23" s="479">
        <f t="shared" ca="1" si="2"/>
        <v>92.458241830606212</v>
      </c>
      <c r="C23" s="479">
        <f t="shared" ca="1" si="3"/>
        <v>0</v>
      </c>
      <c r="D23" s="479">
        <f t="shared" si="4"/>
        <v>0</v>
      </c>
      <c r="E23" s="479">
        <f t="shared" si="5"/>
        <v>0</v>
      </c>
      <c r="F23" s="479">
        <f t="shared" si="6"/>
        <v>0</v>
      </c>
      <c r="G23" s="479">
        <f t="shared" si="7"/>
        <v>0</v>
      </c>
      <c r="H23" s="479">
        <f t="shared" si="8"/>
        <v>0</v>
      </c>
      <c r="I23" s="479">
        <f t="shared" si="9"/>
        <v>0</v>
      </c>
      <c r="J23" s="479">
        <f t="shared" si="10"/>
        <v>0</v>
      </c>
      <c r="K23" s="479">
        <f t="shared" si="11"/>
        <v>0</v>
      </c>
      <c r="L23" s="479">
        <f t="shared" si="12"/>
        <v>0</v>
      </c>
      <c r="M23" s="479">
        <f t="shared" si="13"/>
        <v>0</v>
      </c>
      <c r="N23" s="479">
        <f t="shared" si="14"/>
        <v>0</v>
      </c>
      <c r="O23" s="479">
        <f t="shared" si="15"/>
        <v>0</v>
      </c>
      <c r="P23" s="480">
        <f t="shared" si="16"/>
        <v>0</v>
      </c>
      <c r="Q23" s="478">
        <f t="shared" ca="1" si="17"/>
        <v>92.458241830606212</v>
      </c>
    </row>
    <row r="24" spans="1:17">
      <c r="A24" s="478" t="s">
        <v>112</v>
      </c>
      <c r="B24" s="479">
        <f t="shared" ca="1" si="2"/>
        <v>205.28986676633218</v>
      </c>
      <c r="C24" s="479">
        <f t="shared" ca="1" si="3"/>
        <v>3076.8504201680671</v>
      </c>
      <c r="D24" s="479">
        <f t="shared" si="4"/>
        <v>271.12846028726284</v>
      </c>
      <c r="E24" s="479">
        <f t="shared" si="5"/>
        <v>2.0509735030045793</v>
      </c>
      <c r="F24" s="479">
        <f t="shared" si="6"/>
        <v>660.80620879969831</v>
      </c>
      <c r="G24" s="479">
        <f t="shared" si="7"/>
        <v>0</v>
      </c>
      <c r="H24" s="479">
        <f t="shared" si="8"/>
        <v>0</v>
      </c>
      <c r="I24" s="479">
        <f t="shared" si="9"/>
        <v>0</v>
      </c>
      <c r="J24" s="479">
        <f t="shared" si="10"/>
        <v>52.940350065047248</v>
      </c>
      <c r="K24" s="479">
        <f t="shared" si="11"/>
        <v>0</v>
      </c>
      <c r="L24" s="479">
        <f t="shared" si="12"/>
        <v>0</v>
      </c>
      <c r="M24" s="479">
        <f t="shared" si="13"/>
        <v>0</v>
      </c>
      <c r="N24" s="479">
        <f t="shared" si="14"/>
        <v>0</v>
      </c>
      <c r="O24" s="479">
        <f t="shared" si="15"/>
        <v>0</v>
      </c>
      <c r="P24" s="480">
        <f t="shared" si="16"/>
        <v>0</v>
      </c>
      <c r="Q24" s="478">
        <f t="shared" ca="1" si="17"/>
        <v>4269.0662795894123</v>
      </c>
    </row>
    <row r="25" spans="1:17">
      <c r="A25" s="478" t="s">
        <v>650</v>
      </c>
      <c r="B25" s="479">
        <f t="shared" ca="1" si="2"/>
        <v>920.56016163390348</v>
      </c>
      <c r="C25" s="479">
        <f t="shared" ca="1" si="3"/>
        <v>0</v>
      </c>
      <c r="D25" s="479">
        <f t="shared" si="4"/>
        <v>344.72484634247564</v>
      </c>
      <c r="E25" s="479">
        <f t="shared" si="5"/>
        <v>79.110856586499892</v>
      </c>
      <c r="F25" s="479">
        <f t="shared" si="6"/>
        <v>489.51455415313455</v>
      </c>
      <c r="G25" s="479">
        <f t="shared" si="7"/>
        <v>0</v>
      </c>
      <c r="H25" s="479">
        <f t="shared" si="8"/>
        <v>0</v>
      </c>
      <c r="I25" s="479">
        <f t="shared" si="9"/>
        <v>0</v>
      </c>
      <c r="J25" s="479">
        <f t="shared" si="10"/>
        <v>7.6191924420858559</v>
      </c>
      <c r="K25" s="479">
        <f t="shared" si="11"/>
        <v>0</v>
      </c>
      <c r="L25" s="479">
        <f t="shared" si="12"/>
        <v>0</v>
      </c>
      <c r="M25" s="479">
        <f t="shared" si="13"/>
        <v>0</v>
      </c>
      <c r="N25" s="479">
        <f t="shared" si="14"/>
        <v>0</v>
      </c>
      <c r="O25" s="479">
        <f t="shared" si="15"/>
        <v>0</v>
      </c>
      <c r="P25" s="480">
        <f t="shared" si="16"/>
        <v>0</v>
      </c>
      <c r="Q25" s="478">
        <f t="shared" ca="1" si="17"/>
        <v>1841.5296111580997</v>
      </c>
    </row>
    <row r="26" spans="1:17" s="484" customFormat="1">
      <c r="A26" s="482" t="s">
        <v>571</v>
      </c>
      <c r="B26" s="836">
        <f t="shared" ca="1" si="2"/>
        <v>1.5151863492080748</v>
      </c>
      <c r="C26" s="483">
        <f t="shared" ca="1" si="3"/>
        <v>0</v>
      </c>
      <c r="D26" s="483">
        <f t="shared" si="4"/>
        <v>3.7829770366624698</v>
      </c>
      <c r="E26" s="483">
        <f t="shared" si="5"/>
        <v>27.161500285774494</v>
      </c>
      <c r="F26" s="483">
        <f t="shared" si="6"/>
        <v>0</v>
      </c>
      <c r="G26" s="483">
        <f t="shared" si="7"/>
        <v>8274.8677521770624</v>
      </c>
      <c r="H26" s="483">
        <f t="shared" si="8"/>
        <v>1763.8980750999863</v>
      </c>
      <c r="I26" s="483">
        <f t="shared" si="9"/>
        <v>0</v>
      </c>
      <c r="J26" s="483">
        <f t="shared" si="10"/>
        <v>0</v>
      </c>
      <c r="K26" s="483">
        <f t="shared" si="11"/>
        <v>0</v>
      </c>
      <c r="L26" s="483">
        <f t="shared" si="12"/>
        <v>0</v>
      </c>
      <c r="M26" s="483">
        <f t="shared" si="13"/>
        <v>0</v>
      </c>
      <c r="N26" s="483">
        <f t="shared" si="14"/>
        <v>0</v>
      </c>
      <c r="O26" s="483">
        <f t="shared" si="15"/>
        <v>0</v>
      </c>
      <c r="P26" s="494">
        <f t="shared" si="16"/>
        <v>0</v>
      </c>
      <c r="Q26" s="482">
        <f t="shared" ca="1" si="17"/>
        <v>10071.225490948695</v>
      </c>
    </row>
    <row r="27" spans="1:17">
      <c r="A27" s="478" t="s">
        <v>561</v>
      </c>
      <c r="B27" s="479">
        <f t="shared" ca="1" si="2"/>
        <v>0</v>
      </c>
      <c r="C27" s="479">
        <f t="shared" ca="1" si="3"/>
        <v>0</v>
      </c>
      <c r="D27" s="479">
        <f t="shared" si="4"/>
        <v>0</v>
      </c>
      <c r="E27" s="479">
        <f t="shared" si="5"/>
        <v>0</v>
      </c>
      <c r="F27" s="479">
        <f t="shared" si="6"/>
        <v>0</v>
      </c>
      <c r="G27" s="479">
        <f t="shared" si="7"/>
        <v>118.99864058767005</v>
      </c>
      <c r="H27" s="479">
        <f t="shared" si="8"/>
        <v>0</v>
      </c>
      <c r="I27" s="479">
        <f t="shared" si="9"/>
        <v>0</v>
      </c>
      <c r="J27" s="479">
        <f t="shared" si="10"/>
        <v>0</v>
      </c>
      <c r="K27" s="479">
        <f t="shared" si="11"/>
        <v>0</v>
      </c>
      <c r="L27" s="479">
        <f t="shared" si="12"/>
        <v>0</v>
      </c>
      <c r="M27" s="479">
        <f t="shared" si="13"/>
        <v>0</v>
      </c>
      <c r="N27" s="479">
        <f t="shared" si="14"/>
        <v>0</v>
      </c>
      <c r="O27" s="479">
        <f t="shared" si="15"/>
        <v>0</v>
      </c>
      <c r="P27" s="480">
        <f t="shared" si="16"/>
        <v>0</v>
      </c>
      <c r="Q27" s="478">
        <f t="shared" ca="1" si="17"/>
        <v>118.99864058767005</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f t="shared" ca="1" si="3"/>
        <v>0</v>
      </c>
      <c r="D29" s="479">
        <f t="shared" si="4"/>
        <v>0</v>
      </c>
      <c r="E29" s="479">
        <f t="shared" si="5"/>
        <v>0</v>
      </c>
      <c r="F29" s="479">
        <f t="shared" si="6"/>
        <v>0</v>
      </c>
      <c r="G29" s="479">
        <f t="shared" si="7"/>
        <v>0</v>
      </c>
      <c r="H29" s="479">
        <f t="shared" si="8"/>
        <v>0</v>
      </c>
      <c r="I29" s="479">
        <f t="shared" si="9"/>
        <v>0</v>
      </c>
      <c r="J29" s="479">
        <f t="shared" si="10"/>
        <v>0</v>
      </c>
      <c r="K29" s="479">
        <f t="shared" si="11"/>
        <v>0</v>
      </c>
      <c r="L29" s="479">
        <f t="shared" si="12"/>
        <v>0</v>
      </c>
      <c r="M29" s="479">
        <f t="shared" si="13"/>
        <v>0</v>
      </c>
      <c r="N29" s="479">
        <f t="shared" si="14"/>
        <v>0</v>
      </c>
      <c r="O29" s="479">
        <f t="shared" si="15"/>
        <v>0</v>
      </c>
      <c r="P29" s="480">
        <f t="shared" si="16"/>
        <v>0</v>
      </c>
      <c r="Q29" s="478">
        <f t="shared" ca="1" si="17"/>
        <v>0</v>
      </c>
    </row>
    <row r="30" spans="1:17">
      <c r="A30" s="485" t="s">
        <v>564</v>
      </c>
      <c r="B30" s="479">
        <f t="shared" ca="1" si="2"/>
        <v>0</v>
      </c>
      <c r="C30" s="479">
        <f t="shared" ca="1" si="3"/>
        <v>0</v>
      </c>
      <c r="D30" s="479">
        <f t="shared" si="4"/>
        <v>0</v>
      </c>
      <c r="E30" s="479">
        <f t="shared" si="5"/>
        <v>0</v>
      </c>
      <c r="F30" s="479">
        <f t="shared" si="6"/>
        <v>0</v>
      </c>
      <c r="G30" s="479">
        <f t="shared" si="7"/>
        <v>0</v>
      </c>
      <c r="H30" s="479">
        <f t="shared" si="8"/>
        <v>0</v>
      </c>
      <c r="I30" s="479">
        <f t="shared" si="9"/>
        <v>0</v>
      </c>
      <c r="J30" s="479">
        <f t="shared" si="10"/>
        <v>0</v>
      </c>
      <c r="K30" s="479">
        <f t="shared" si="11"/>
        <v>0</v>
      </c>
      <c r="L30" s="479">
        <f t="shared" si="12"/>
        <v>0</v>
      </c>
      <c r="M30" s="479">
        <f t="shared" si="13"/>
        <v>0</v>
      </c>
      <c r="N30" s="479">
        <f t="shared" si="14"/>
        <v>0</v>
      </c>
      <c r="O30" s="479">
        <f t="shared" si="15"/>
        <v>0</v>
      </c>
      <c r="P30" s="480">
        <f t="shared" si="16"/>
        <v>0</v>
      </c>
      <c r="Q30" s="478">
        <f t="shared" ca="1" si="17"/>
        <v>0</v>
      </c>
    </row>
    <row r="31" spans="1:17" s="491" customFormat="1">
      <c r="A31" s="488" t="s">
        <v>565</v>
      </c>
      <c r="B31" s="489">
        <f t="shared" ref="B31:Q31" ca="1" si="18">SUM(B21:B30)</f>
        <v>6180.2431494616476</v>
      </c>
      <c r="C31" s="489">
        <f t="shared" ca="1" si="18"/>
        <v>3085.2529411764704</v>
      </c>
      <c r="D31" s="489">
        <f t="shared" ca="1" si="18"/>
        <v>10735.815063053609</v>
      </c>
      <c r="E31" s="489">
        <f t="shared" si="18"/>
        <v>609.05593816824546</v>
      </c>
      <c r="F31" s="489">
        <f t="shared" ca="1" si="18"/>
        <v>2587.8596007305405</v>
      </c>
      <c r="G31" s="489">
        <f t="shared" si="18"/>
        <v>8393.8663927647322</v>
      </c>
      <c r="H31" s="489">
        <f t="shared" si="18"/>
        <v>1763.8980750999863</v>
      </c>
      <c r="I31" s="489">
        <f t="shared" si="18"/>
        <v>0</v>
      </c>
      <c r="J31" s="489">
        <f t="shared" si="18"/>
        <v>320.79955436107713</v>
      </c>
      <c r="K31" s="489">
        <f t="shared" si="18"/>
        <v>0</v>
      </c>
      <c r="L31" s="489">
        <f t="shared" ca="1" si="18"/>
        <v>0</v>
      </c>
      <c r="M31" s="489">
        <f t="shared" si="18"/>
        <v>0</v>
      </c>
      <c r="N31" s="489">
        <f t="shared" ca="1" si="18"/>
        <v>0</v>
      </c>
      <c r="O31" s="489">
        <f t="shared" si="18"/>
        <v>0</v>
      </c>
      <c r="P31" s="490">
        <f t="shared" si="18"/>
        <v>0</v>
      </c>
      <c r="Q31" s="490">
        <f t="shared" ca="1" si="18"/>
        <v>33676.790714816314</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0.21045426716456356</v>
      </c>
      <c r="C17" s="529">
        <f ca="1">'EF ele_warmte'!B22</f>
        <v>0.23764705882352943</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0</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0</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26"/>
      <c r="P13" s="1126"/>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0.21045426716456356</v>
      </c>
      <c r="C17" s="529">
        <f ca="1">'EF ele_warmte'!B22</f>
        <v>0.23764705882352943</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11" t="s">
        <v>328</v>
      </c>
      <c r="B1" s="1120" t="s">
        <v>195</v>
      </c>
      <c r="C1" s="1121"/>
      <c r="D1" s="1121"/>
      <c r="E1" s="1121"/>
      <c r="F1" s="1121"/>
      <c r="G1" s="1121"/>
      <c r="H1" s="1121"/>
      <c r="I1" s="1121"/>
      <c r="J1" s="1121"/>
      <c r="K1" s="1121"/>
      <c r="L1" s="1121"/>
      <c r="M1" s="1121"/>
      <c r="N1" s="1121"/>
      <c r="O1" s="1121"/>
      <c r="P1" s="1121"/>
    </row>
    <row r="2" spans="1:16" ht="15" customHeight="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0.21045426716456356</v>
      </c>
      <c r="C29" s="530">
        <f ca="1">'EF ele_warmte'!B22</f>
        <v>0.23764705882352943</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27"/>
      <c r="K10" s="58"/>
    </row>
    <row r="11" spans="1:11" s="43" customFormat="1">
      <c r="A11" s="44" t="s">
        <v>575</v>
      </c>
      <c r="B11" s="47"/>
      <c r="D11" s="142" t="s">
        <v>392</v>
      </c>
      <c r="I11" s="1127"/>
      <c r="K11" s="58"/>
    </row>
    <row r="12" spans="1:11" s="43" customFormat="1">
      <c r="A12" s="44" t="s">
        <v>576</v>
      </c>
      <c r="B12" s="47"/>
      <c r="D12" s="142" t="s">
        <v>392</v>
      </c>
      <c r="I12" s="1127"/>
      <c r="K12" s="58"/>
    </row>
    <row r="13" spans="1:11" s="43" customFormat="1">
      <c r="A13" s="44"/>
      <c r="B13" s="479"/>
      <c r="D13" s="96"/>
      <c r="I13" s="1127"/>
    </row>
    <row r="14" spans="1:11" s="43" customFormat="1">
      <c r="A14" s="304" t="s">
        <v>573</v>
      </c>
      <c r="B14" s="532"/>
      <c r="C14" s="141" t="s">
        <v>182</v>
      </c>
      <c r="D14" s="144" t="s">
        <v>391</v>
      </c>
      <c r="I14" s="1127"/>
    </row>
    <row r="15" spans="1:11" s="43" customFormat="1">
      <c r="A15" s="44" t="s">
        <v>71</v>
      </c>
      <c r="B15" s="47"/>
      <c r="D15" s="142" t="s">
        <v>392</v>
      </c>
      <c r="I15" s="1127"/>
      <c r="J15" s="1127"/>
    </row>
    <row r="16" spans="1:11" s="43" customFormat="1">
      <c r="A16" s="44" t="s">
        <v>537</v>
      </c>
      <c r="B16" s="47"/>
      <c r="D16" s="142" t="s">
        <v>392</v>
      </c>
      <c r="I16" s="1127"/>
      <c r="J16" s="1127"/>
    </row>
    <row r="17" spans="1:11" s="43" customFormat="1">
      <c r="A17" s="44" t="s">
        <v>78</v>
      </c>
      <c r="B17" s="47"/>
      <c r="D17" s="142" t="s">
        <v>392</v>
      </c>
      <c r="I17" s="1127"/>
      <c r="J17" s="1127"/>
    </row>
    <row r="18" spans="1:11" s="43" customFormat="1">
      <c r="A18" s="44" t="s">
        <v>538</v>
      </c>
      <c r="B18" s="47"/>
      <c r="D18" s="142" t="s">
        <v>392</v>
      </c>
      <c r="I18" s="1127"/>
      <c r="J18" s="1127"/>
      <c r="K18" s="58"/>
    </row>
    <row r="19" spans="1:11" s="43" customFormat="1">
      <c r="A19" s="44" t="s">
        <v>77</v>
      </c>
      <c r="B19" s="47"/>
      <c r="D19" s="142" t="s">
        <v>392</v>
      </c>
      <c r="I19" s="1127"/>
      <c r="J19" s="1128"/>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27"/>
      <c r="J35" s="1127"/>
    </row>
    <row r="36" spans="1:11" s="43" customFormat="1">
      <c r="A36" s="467" t="s">
        <v>537</v>
      </c>
      <c r="B36" s="47"/>
      <c r="D36" s="142" t="s">
        <v>392</v>
      </c>
      <c r="I36" s="1127"/>
      <c r="J36" s="1127"/>
    </row>
    <row r="37" spans="1:11" s="43" customFormat="1">
      <c r="A37" s="467" t="s">
        <v>78</v>
      </c>
      <c r="B37" s="47"/>
      <c r="D37" s="142" t="s">
        <v>392</v>
      </c>
      <c r="I37" s="1127"/>
      <c r="J37" s="1127"/>
    </row>
    <row r="38" spans="1:11" s="43" customFormat="1">
      <c r="A38" s="467" t="s">
        <v>538</v>
      </c>
      <c r="B38" s="47"/>
      <c r="D38" s="142" t="s">
        <v>392</v>
      </c>
      <c r="I38" s="1127"/>
      <c r="J38" s="1127"/>
      <c r="K38" s="58"/>
    </row>
    <row r="39" spans="1:11" s="43" customFormat="1">
      <c r="A39" s="467" t="s">
        <v>77</v>
      </c>
      <c r="B39" s="47"/>
      <c r="D39" s="142" t="s">
        <v>392</v>
      </c>
      <c r="I39" s="1127"/>
      <c r="J39" s="1128"/>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216</vt:i4>
      </vt:variant>
    </vt:vector>
  </HeadingPairs>
  <TitlesOfParts>
    <vt:vector size="249" baseType="lpstr">
      <vt:lpstr>LEGENDE</vt:lpstr>
      <vt:lpstr>OUTPUT--&gt;</vt:lpstr>
      <vt:lpstr>SEAP template</vt:lpstr>
      <vt:lpstr>Inventaris 2014</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2018-06-27T09:34:59Z</dcterms:modified>
</cp:coreProperties>
</file>