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Q13"/>
  <c r="J15"/>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8" i="16"/>
  <c r="G13" i="14" s="1"/>
  <c r="G15" s="1"/>
  <c r="G23" s="1"/>
  <c r="M16" i="18"/>
  <c r="M19" s="1"/>
  <c r="K10" i="14"/>
  <c r="R10" s="1"/>
  <c r="J18" i="16"/>
  <c r="J22" s="1"/>
  <c r="K39" i="14"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8" i="15"/>
  <c r="C20" s="1"/>
  <c r="D36" i="14" s="1"/>
  <c r="Q5" i="48"/>
  <c r="F22" i="16"/>
  <c r="G39" i="14" s="1"/>
  <c r="G41" s="1"/>
  <c r="N22" i="16"/>
  <c r="O39" i="14" s="1"/>
  <c r="O41" s="1"/>
  <c r="E14" i="48"/>
  <c r="Q4"/>
  <c r="N22"/>
  <c r="R11" i="14"/>
  <c r="J21" i="48"/>
  <c r="C20" i="16" l="1"/>
  <c r="C22" s="1"/>
  <c r="D39" i="14" s="1"/>
  <c r="F8" i="48"/>
  <c r="F25" s="1"/>
  <c r="F31" s="1"/>
  <c r="C17" i="19"/>
  <c r="C19" s="1"/>
  <c r="D35" i="14" s="1"/>
  <c r="C29" i="20"/>
  <c r="C17" i="49"/>
  <c r="K41" i="14"/>
  <c r="K53" s="1"/>
  <c r="N31" i="48"/>
  <c r="C56" i="22"/>
  <c r="C58" s="1"/>
  <c r="D44" i="14" s="1"/>
  <c r="D46" s="1"/>
  <c r="C10" i="17"/>
  <c r="C12" s="1"/>
  <c r="D48" i="14" s="1"/>
  <c r="N14" i="48"/>
  <c r="C16" i="22"/>
  <c r="K13" i="14"/>
  <c r="R13" s="1"/>
  <c r="R15" s="1"/>
  <c r="H55"/>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F14"/>
  <c r="Q8" l="1"/>
  <c r="Q14" s="1"/>
  <c r="D41" i="14"/>
  <c r="D53" s="1"/>
  <c r="D55" s="1"/>
  <c r="K15"/>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<sst xmlns="http://schemas.openxmlformats.org/spreadsheetml/2006/main" count="1977" uniqueCount="850">
  <si>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</si>
  <si>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</si>
  <si>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</si>
  <si>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</si>
  <si>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</si>
  <si>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</si>
  <si>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</si>
  <si>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</si>
  <si>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</si>
  <si>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</si>
  <si>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</si>
  <si>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</si>
  <si>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</si>
  <si>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</si>
  <si>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</si>
  <si>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</si>
  <si>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</si>
  <si>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</si>
  <si>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</si>
  <si>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</si>
  <si>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</si>
  <si>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</si>
  <si>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</si>
  <si>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</si>
  <si>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</si>
  <si>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</si>
  <si>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</si>
  <si>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</si>
  <si>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</si>
  <si>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</si>
  <si>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</si>
  <si>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</si>
  <si>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</si>
  <si>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</si>
  <si>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</si>
  <si>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</si>
  <si>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</si>
  <si>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</si>
  <si>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</si>
  <si>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</si>
  <si>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</si>
  <si>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</si>
  <si>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</si>
  <si>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</si>
  <si>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</si>
  <si>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</si>
  <si>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</si>
  <si>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</si>
  <si>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</si>
  <si>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</si>
  <si>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</si>
  <si>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</si>
  <si>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</si>
  <si>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</si>
  <si>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</si>
  <si>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</si>
  <si>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</si>
  <si>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</si>
  <si>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</si>
  <si>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</si>
  <si>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</si>
  <si>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</si>
  <si>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</si>
  <si>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</si>
  <si>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</si>
  <si>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</si>
  <si>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</si>
  <si>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</si>
  <si>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</si>
  <si>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</si>
  <si>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</si>
  <si>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</si>
  <si>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</si>
  <si>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</si>
  <si>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</si>
  <si>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</si>
  <si>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</si>
  <si>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</si>
  <si>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</si>
  <si>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</si>
  <si>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</si>
  <si>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</si>
  <si>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</si>
  <si>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</si>
  <si>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</si>
  <si>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</si>
  <si>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</si>
  <si>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</si>
  <si>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</si>
  <si>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</si>
  <si>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</si>
  <si>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</si>
  <si>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</si>
  <si>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</si>
  <si>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</si>
  <si>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</si>
  <si>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</si>
  <si>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</si>
  <si>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</si>
  <si>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</si>
  <si>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</si>
  <si>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</si>
  <si>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</si>
  <si>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</si>
  <si>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</si>
  <si>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</si>
  <si>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</si>
  <si>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</si>
  <si>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</si>
  <si>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</si>
  <si>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</si>
  <si>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</si>
  <si>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</si>
  <si>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</si>
  <si>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</si>
  <si>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</si>
  <si>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</si>
  <si>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</si>
  <si>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</si>
  <si>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</si>
  <si>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</si>
  <si>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</si>
  <si>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</si>
  <si>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</si>
  <si>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</si>
  <si>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</si>
  <si>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</si>
  <si>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</si>
  <si>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</si>
  <si>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</si>
  <si>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</si>
  <si>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</si>
  <si>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</si>
  <si>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</si>
  <si>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</si>
  <si>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</si>
  <si>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</si>
  <si>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</si>
  <si>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</si>
  <si>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</si>
  <si>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</si>
  <si>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</si>
  <si>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</si>
  <si>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</si>
  <si>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</si>
  <si>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</si>
  <si>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</si>
  <si>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</si>
  <si>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</si>
  <si>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</si>
  <si>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</si>
  <si>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</si>
  <si>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</si>
  <si>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</si>
  <si>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</si>
  <si>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</si>
  <si>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</si>
  <si>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</si>
  <si>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</si>
  <si>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</si>
  <si>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</si>
  <si>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</si>
  <si>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</si>
  <si>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</si>
  <si>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</si>
  <si>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</si>
  <si>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</si>
  <si>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</si>
  <si>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</si>
  <si>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</si>
  <si>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</si>
  <si>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</si>
  <si>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</si>
  <si>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</si>
  <si>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</si>
  <si>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</si>
  <si>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</si>
  <si>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</si>
  <si>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</si>
  <si>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</si>
  <si>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</si>
  <si>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</si>
  <si>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</si>
  <si>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</si>
  <si>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</si>
  <si>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</si>
  <si>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</si>
  <si>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</si>
  <si>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</si>
  <si>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</si>
  <si>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</si>
  <si>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</si>
  <si>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</si>
  <si>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</si>
  <si>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</si>
  <si>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</si>
  <si>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</si>
  <si>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</si>
  <si>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</si>
  <si>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</si>
  <si>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</si>
  <si>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</si>
  <si>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</si>
  <si>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</si>
  <si>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</si>
  <si>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</si>
  <si>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</si>
  <si>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</si>
  <si>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</si>
  <si>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</si>
  <si>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</si>
  <si>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</si>
  <si>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</si>
  <si>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</si>
  <si>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</si>
  <si>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</si>
  <si>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</si>
  <si>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</si>
  <si>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</si>
  <si>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</si>
  <si>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</si>
  <si>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</si>
  <si>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</si>
  <si>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</si>
  <si>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</si>
  <si>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</si>
  <si>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</si>
  <si>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</si>
  <si>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</si>
  <si>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</si>
  <si>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</si>
  <si>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</si>
  <si>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</si>
  <si>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</si>
  <si>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</si>
  <si>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</si>
  <si>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</si>
  <si>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</si>
  <si>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</si>
  <si>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</si>
  <si>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</si>
  <si>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</si>
  <si>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</si>
  <si>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</si>
  <si>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</si>
  <si>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</si>
  <si>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</si>
  <si>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</si>
  <si>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</si>
  <si>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</si>
  <si>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</si>
  <si>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</si>
  <si>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</si>
  <si>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</si>
  <si>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</si>
  <si>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</si>
  <si>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</si>
  <si>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</si>
  <si>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</si>
  <si>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</si>
  <si>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</si>
  <si>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</si>
  <si>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</si>
  <si>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</si>
  <si>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</si>
  <si>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</si>
  <si>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</si>
  <si>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</si>
  <si>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</si>
  <si>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</si>
  <si>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</si>
  <si>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</si>
  <si>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</si>
  <si>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</si>
  <si>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</si>
  <si>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</si>
  <si>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</si>
  <si>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</si>
  <si>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</si>
  <si>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</si>
  <si>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</si>
  <si>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</si>
  <si>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</si>
  <si>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</si>
  <si>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</si>
  <si>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</si>
  <si>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</si>
  <si>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</si>
  <si>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</si>
  <si>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</si>
  <si>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</si>
  <si>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</si>
  <si>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</si>
  <si>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</si>
  <si>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</si>
  <si>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</si>
  <si>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</si>
  <si>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</si>
  <si>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</si>
  <si>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</si>
  <si>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</si>
  <si>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</si>
  <si>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</si>
  <si>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</si>
  <si>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</si>
  <si>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</si>
  <si>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</si>
  <si>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</si>
  <si>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</si>
  <si>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</si>
  <si>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</si>
  <si>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</si>
  <si>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</si>
  <si>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</si>
  <si>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</si>
  <si>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</si>
  <si>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</si>
  <si>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</si>
  <si>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</si>
  <si>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</si>
  <si>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</si>
  <si>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</si>
  <si>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</si>
  <si>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</si>
  <si>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</si>
  <si>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</si>
  <si>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</si>
  <si>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</si>
  <si>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</si>
  <si>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</si>
  <si>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</si>
  <si>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</si>
  <si>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</si>
  <si>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</si>
  <si>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</si>
  <si>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</si>
  <si>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</si>
  <si>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</si>
  <si>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</si>
  <si>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</si>
  <si>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</si>
  <si>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</si>
  <si>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</si>
  <si>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</si>
  <si>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</si>
  <si>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</si>
  <si>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</si>
  <si>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</si>
  <si>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</si>
  <si>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</si>
  <si>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</si>
  <si>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</si>
  <si>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</si>
  <si>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</si>
  <si>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</si>
  <si>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</si>
  <si>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</si>
  <si>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</si>
  <si>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</si>
  <si>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</si>
  <si>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</si>
  <si>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</si>
  <si>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</si>
  <si>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</si>
  <si>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</si>
  <si>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</si>
  <si>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</si>
  <si>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</si>
  <si>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</si>
  <si>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</si>
  <si>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</si>
  <si>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</si>
  <si>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</si>
  <si>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</si>
  <si>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</si>
  <si>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</si>
  <si>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</si>
  <si>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</si>
  <si>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</si>
  <si>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</si>
  <si>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</si>
  <si>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</si>
  <si>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</si>
  <si>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</si>
  <si>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</si>
  <si>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</si>
  <si>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</si>
  <si>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</si>
  <si>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</si>
  <si>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</si>
  <si>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</si>
  <si>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</si>
  <si>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</si>
  <si>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</si>
  <si>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</si>
  <si>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</si>
  <si>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</si>
  <si>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</si>
  <si>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</si>
  <si>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</si>
  <si>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</si>
  <si>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</si>
  <si>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</si>
  <si>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</si>
  <si>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</si>
  <si>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</si>
  <si>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</si>
  <si>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</si>
  <si>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</si>
  <si>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</si>
  <si>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</si>
  <si>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</si>
  <si>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</si>
  <si>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</si>
  <si>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</si>
  <si>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</si>
  <si>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</si>
  <si>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</si>
  <si>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</si>
  <si>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</si>
  <si>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</si>
  <si>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</si>
  <si>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</si>
  <si>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</si>
  <si>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</si>
  <si>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</si>
  <si>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</si>
  <si>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</si>
  <si>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</si>
  <si>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</si>
  <si>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</si>
  <si>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</si>
  <si>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</si>
  <si>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</si>
  <si>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</si>
  <si>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</si>
  <si>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</si>
  <si>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</si>
  <si>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</si>
  <si>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</si>
  <si>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</si>
  <si>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</si>
  <si>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</si>
  <si>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</si>
  <si>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</si>
  <si>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</si>
  <si>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</si>
  <si>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</si>
  <si>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</si>
  <si>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</si>
  <si>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</si>
  <si>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</si>
  <si>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</si>
  <si>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</si>
  <si>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</si>
  <si>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</si>
  <si>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</si>
  <si>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</si>
  <si>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</si>
  <si>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</si>
  <si>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</si>
  <si>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</si>
  <si>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</si>
  <si>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</si>
  <si>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</si>
  <si>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</si>
  <si>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</si>
  <si>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</si>
  <si>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</si>
  <si>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</si>
  <si>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</si>
  <si>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</si>
  <si>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</si>
  <si>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</si>
  <si>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</si>
  <si>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</si>
  <si>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</si>
  <si>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</si>
  <si>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</si>
  <si>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</si>
  <si>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</si>
  <si>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</si>
  <si>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</si>
  <si>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</si>
  <si>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</si>
  <si>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</si>
  <si>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</si>
  <si>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</si>
  <si>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</si>
  <si>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</si>
  <si>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</si>
  <si>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</si>
  <si>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</si>
  <si>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</si>
  <si>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</si>
  <si>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</si>
  <si>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</si>
  <si>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</si>
  <si>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</si>
  <si>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</si>
  <si>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</si>
  <si>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</si>
  <si>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</si>
  <si>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</si>
  <si>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</si>
  <si>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</si>
  <si>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</si>
  <si>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</si>
  <si>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</si>
  <si>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</si>
  <si>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</si>
  <si>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</si>
  <si>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</si>
  <si>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</si>
  <si>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</si>
  <si>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</si>
  <si>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</si>
  <si>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</si>
  <si>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</si>
  <si>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</si>
  <si>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</si>
  <si>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</si>
  <si>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</si>
  <si>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</si>
  <si>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</si>
  <si>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</si>
  <si>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</si>
  <si>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</si>
  <si>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</si>
  <si>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</si>
  <si>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</si>
  <si>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</si>
  <si>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</si>
  <si>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</si>
  <si>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</si>
  <si>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</si>
  <si>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</si>
  <si>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</si>
  <si>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</si>
  <si>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</si>
  <si>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</si>
  <si>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</si>
  <si>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</si>
  <si>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</si>
  <si>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</si>
  <si>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</si>
  <si>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</si>
  <si>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</si>
  <si>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</si>
  <si>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</si>
  <si>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</si>
  <si>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</si>
  <si>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</si>
  <si>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</si>
  <si>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</si>
  <si>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</si>
  <si>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</si>
  <si>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</si>
  <si>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</si>
  <si>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</si>
  <si>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</si>
  <si>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</si>
  <si>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</si>
  <si>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</si>
  <si>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</si>
  <si>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</si>
  <si>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</si>
  <si>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</si>
  <si>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</si>
  <si>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</si>
  <si>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</si>
  <si>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</si>
  <si>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</si>
  <si>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</si>
  <si>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</si>
  <si>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</si>
  <si>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</si>
  <si>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</si>
  <si>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</si>
  <si>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</si>
  <si>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</si>
  <si>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</si>
  <si>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</si>
  <si>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</si>
  <si>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</si>
  <si>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</si>
  <si>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</si>
  <si>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</si>
  <si>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</si>
  <si>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</si>
  <si>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</si>
  <si>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</si>
  <si>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</si>
  <si>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</si>
  <si>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</si>
  <si>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</si>
  <si>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</si>
  <si>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</si>
  <si>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</si>
  <si>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</si>
  <si>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</si>
  <si>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</si>
  <si>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</si>
  <si>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</si>
  <si>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</si>
  <si>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</si>
  <si>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</si>
  <si>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</si>
  <si>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</si>
  <si>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</si>
  <si>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</si>
  <si>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</si>
  <si>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</si>
  <si>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</si>
  <si>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</si>
  <si>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</si>
  <si>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</si>
  <si>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</si>
  <si>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</si>
  <si>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</si>
  <si>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</si>
  <si>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</si>
  <si>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</si>
  <si>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</si>
  <si>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</si>
  <si>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</si>
  <si>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</si>
  <si>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</si>
  <si>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</si>
  <si>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</si>
  <si>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</si>
  <si>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</si>
  <si>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</si>
  <si>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</si>
  <si>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</si>
  <si>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</si>
  <si>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</si>
  <si>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</si>
  <si>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</si>
  <si>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</si>
  <si>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</si>
  <si>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</si>
  <si>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</si>
  <si>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</si>
  <si>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</si>
  <si>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</si>
  <si>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</si>
  <si>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</si>
  <si>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</si>
  <si>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</si>
  <si>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</si>
  <si>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</si>
  <si>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</si>
  <si>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</si>
  <si>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</si>
  <si>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</si>
  <si>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</si>
  <si>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</si>
  <si>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</si>
  <si>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</si>
  <si>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</si>
  <si>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</si>
  <si>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</si>
  <si>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</si>
  <si>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</si>
  <si>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</si>
  <si>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</si>
  <si>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</si>
  <si>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</si>
  <si>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</si>
  <si>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</si>
  <si>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</si>
  <si>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</si>
  <si>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</si>
  <si>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</si>
  <si>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</si>
  <si>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</si>
  <si>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</si>
  <si>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</si>
  <si>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</si>
  <si>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</si>
  <si>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</si>
  <si>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</si>
  <si>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</si>
  <si>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</si>
  <si>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</si>
  <si>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</si>
  <si>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</si>
  <si>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</si>
  <si>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</si>
  <si>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</si>
  <si>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</si>
  <si>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</si>
  <si>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</si>
  <si>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</si>
  <si>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</si>
  <si>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</si>
  <si>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</si>
  <si>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</si>
  <si>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</si>
  <si>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</si>
  <si>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</si>
  <si>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</si>
  <si>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</si>
  <si>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</si>
  <si>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</si>
  <si>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</si>
  <si>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</si>
  <si>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</si>
  <si>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</si>
  <si>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</si>
  <si>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</si>
  <si>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</si>
  <si>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</si>
  <si>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</si>
  <si>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</si>
  <si>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</si>
  <si>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</si>
  <si>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</si>
  <si>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</si>
  <si>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</si>
  <si>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</si>
  <si>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</si>
  <si>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</si>
  <si>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</si>
  <si>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</si>
  <si>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</si>
  <si>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</si>
  <si>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</si>
  <si>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</si>
  <si>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</si>
  <si>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</si>
  <si>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</si>
  <si>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</si>
  <si>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</si>
  <si>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</si>
  <si>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</si>
  <si>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</si>
  <si>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</si>
  <si>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</si>
  <si>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</si>
  <si>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</si>
  <si>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</si>
  <si>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</si>
  <si>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</si>
  <si>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</si>
  <si>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</si>
  <si>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</si>
  <si>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</si>
  <si>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</si>
  <si>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</si>
  <si>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</si>
  <si>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</si>
  <si>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</si>
  <si>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</si>
  <si>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</si>
  <si>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</si>
  <si>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</si>
  <si>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</si>
  <si>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</si>
  <si>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</si>
  <si>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</si>
  <si>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</si>
  <si>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</si>
  <si>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</si>
  <si>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</si>
  <si>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</si>
  <si>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</si>
  <si>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</si>
  <si>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</si>
  <si>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</si>
  <si>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</si>
  <si>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</si>
  <si>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</si>
  <si>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</si>
  <si>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</si>
  <si>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</si>
  <si>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</si>
  <si>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</si>
  <si>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</si>
  <si>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</si>
  <si>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</si>
  <si>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</si>
  <si>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</si>
  <si>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</si>
  <si>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</si>
  <si>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</si>
  <si>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</si>
  <si>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</si>
  <si>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</si>
  <si>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</si>
  <si>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</si>
  <si>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</si>
  <si>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</si>
  <si>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</si>
  <si>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</si>
  <si>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</si>
  <si>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</si>
  <si>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</si>
  <si>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</si>
  <si>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</si>
  <si>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</si>
  <si>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</si>
  <si>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</si>
  <si>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</si>
  <si>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</si>
  <si>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</si>
  <si>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</si>
  <si>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</si>
  <si>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</si>
  <si>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</si>
  <si>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</si>
  <si>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</si>
  <si>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</si>
  <si>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</si>
  <si>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</si>
  <si>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</si>
  <si>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</si>
  <si>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</si>
  <si>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</si>
  <si>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</si>
  <si>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</si>
  <si>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</si>
  <si>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</si>
  <si>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</si>
  <si>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</si>
  <si>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13011</t>
  </si>
  <si>
    <t>HERENTALS</t>
  </si>
  <si>
    <t>Paarden&amp;pony's 200 - 600 kg</t>
  </si>
  <si>
    <t>Paarden&amp;pony's &lt; 200 kg</t>
  </si>
  <si>
    <t>referentietaak LNE (2017); Jaarverslag De Lijn (2014)</t>
  </si>
  <si>
    <t>op basis van VEA (maart 2018) en Inventaris Hernieuwbare Energiebronnen (juni 2018)</t>
  </si>
  <si>
    <t>VEA (maart 2016)</t>
  </si>
  <si>
    <t>VEA (juni 2018)</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</si>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</sst>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199844.51543401796</c:v>
                </c:pt>
                <c:pt idx="1">
                  <c:v>147887.45747488644</c:v>
                </c:pt>
                <c:pt idx="2">
                  <c:v>1354.28</c:v>
                </c:pt>
                <c:pt idx="3">
                  <c:v>42424.600795787541</c:v>
                </c:pt>
                <c:pt idx="4">
                  <c:v>226295.23759540915</c:v>
                </c:pt>
                <c:pt idx="5">
                  <c:v>217818.77959184477</c:v>
                </c:pt>
                <c:pt idx="6">
                  <c:v>2411.5012232976051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199844.51543401796</c:v>
                </c:pt>
                <c:pt idx="1">
                  <c:v>147887.45747488644</c:v>
                </c:pt>
                <c:pt idx="2">
                  <c:v>1354.28</c:v>
                </c:pt>
                <c:pt idx="3">
                  <c:v>42424.600795787541</c:v>
                </c:pt>
                <c:pt idx="4">
                  <c:v>226295.23759540915</c:v>
                </c:pt>
                <c:pt idx="5">
                  <c:v>217818.77959184477</c:v>
                </c:pt>
                <c:pt idx="6">
                  <c:v>2411.5012232976051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35573.427239902754</c:v>
                </c:pt>
                <c:pt idx="1">
                  <c:v>30382.308163049569</c:v>
                </c:pt>
                <c:pt idx="2">
                  <c:v>286.96531509050715</c:v>
                </c:pt>
                <c:pt idx="3">
                  <c:v>10262.0455655852</c:v>
                </c:pt>
                <c:pt idx="4">
                  <c:v>45936.455674807417</c:v>
                </c:pt>
                <c:pt idx="5">
                  <c:v>54602.974701184045</c:v>
                </c:pt>
                <c:pt idx="6">
                  <c:v>609.1337070292617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66720"/>
      </c:barChart>
      <c:catAx>
        <c:axId val="177248896"/>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35573.427239902754</c:v>
                </c:pt>
                <c:pt idx="1">
                  <c:v>30382.308163049569</c:v>
                </c:pt>
                <c:pt idx="2">
                  <c:v>286.96531509050715</c:v>
                </c:pt>
                <c:pt idx="3">
                  <c:v>10262.0455655852</c:v>
                </c:pt>
                <c:pt idx="4">
                  <c:v>45936.455674807417</c:v>
                </c:pt>
                <c:pt idx="5">
                  <c:v>54602.974701184045</c:v>
                </c:pt>
                <c:pt idx="6">
                  <c:v>609.1337070292617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13011</v>
      </c>
      <c r="B6" s="416"/>
      <c r="C6" s="417"/>
    </row>
    <row r="7" spans="1:7" s="414" customFormat="1" ht="15.75" customHeight="1">
      <c r="A7" s="418" t="str">
        <f>txtMunicipality</f>
        <v>HERENTALS</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73775.774000000005</v>
      </c>
      <c r="D10" s="719">
        <f ca="1">tertiair!C16</f>
        <v>0</v>
      </c>
      <c r="E10" s="719">
        <f ca="1">tertiair!D16</f>
        <v>59688.508267463505</v>
      </c>
      <c r="F10" s="719">
        <f>tertiair!E16</f>
        <v>598.10248146590868</v>
      </c>
      <c r="G10" s="719">
        <f ca="1">tertiair!F16</f>
        <v>10650.559914093292</v>
      </c>
      <c r="H10" s="719">
        <f>tertiair!G16</f>
        <v>0</v>
      </c>
      <c r="I10" s="719">
        <f>tertiair!H16</f>
        <v>0</v>
      </c>
      <c r="J10" s="719">
        <f>tertiair!I16</f>
        <v>0</v>
      </c>
      <c r="K10" s="719">
        <f>tertiair!J16</f>
        <v>0</v>
      </c>
      <c r="L10" s="719">
        <f>tertiair!K16</f>
        <v>0</v>
      </c>
      <c r="M10" s="719">
        <f ca="1">tertiair!L16</f>
        <v>0</v>
      </c>
      <c r="N10" s="719">
        <f>tertiair!M16</f>
        <v>0</v>
      </c>
      <c r="O10" s="719">
        <f ca="1">tertiair!N16</f>
        <v>4336.5628118637669</v>
      </c>
      <c r="P10" s="719">
        <f>tertiair!O16</f>
        <v>1.5633333333333335</v>
      </c>
      <c r="Q10" s="720">
        <f>tertiair!P16</f>
        <v>190.66666666666669</v>
      </c>
      <c r="R10" s="722">
        <f ca="1">SUM(C10:Q10)</f>
        <v>149241.73747488644</v>
      </c>
      <c r="S10" s="67"/>
    </row>
    <row r="11" spans="1:19" s="475" customFormat="1">
      <c r="A11" s="871" t="s">
        <v>225</v>
      </c>
      <c r="B11" s="876"/>
      <c r="C11" s="719">
        <f>huishoudens!B8</f>
        <v>44703.478345647847</v>
      </c>
      <c r="D11" s="719">
        <f>huishoudens!C8</f>
        <v>0</v>
      </c>
      <c r="E11" s="719">
        <f>huishoudens!D8</f>
        <v>122155.06697503099</v>
      </c>
      <c r="F11" s="719">
        <f>huishoudens!E8</f>
        <v>6280.418798733941</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25597.694647938504</v>
      </c>
      <c r="P11" s="719">
        <f>huishoudens!O8</f>
        <v>364.25666666666666</v>
      </c>
      <c r="Q11" s="720">
        <f>huishoudens!P8</f>
        <v>743.6</v>
      </c>
      <c r="R11" s="722">
        <f>SUM(C11:Q11)</f>
        <v>199844.51543401796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107752.5389</v>
      </c>
      <c r="D13" s="719">
        <f>industrie!C18</f>
        <v>900.00000000000023</v>
      </c>
      <c r="E13" s="719">
        <f>industrie!D18</f>
        <v>47989.461738668942</v>
      </c>
      <c r="F13" s="719">
        <f>industrie!E18</f>
        <v>6974.2641822805317</v>
      </c>
      <c r="G13" s="719">
        <f>industrie!F18</f>
        <v>42989.417473599395</v>
      </c>
      <c r="H13" s="719">
        <f>industrie!G18</f>
        <v>0</v>
      </c>
      <c r="I13" s="719">
        <f>industrie!H18</f>
        <v>0</v>
      </c>
      <c r="J13" s="719">
        <f>industrie!I18</f>
        <v>0</v>
      </c>
      <c r="K13" s="719">
        <f>industrie!J18</f>
        <v>381.73190299197989</v>
      </c>
      <c r="L13" s="719">
        <f>industrie!K18</f>
        <v>0</v>
      </c>
      <c r="M13" s="719">
        <f>industrie!L18</f>
        <v>0</v>
      </c>
      <c r="N13" s="719">
        <f>industrie!M18</f>
        <v>0</v>
      </c>
      <c r="O13" s="719">
        <f>industrie!N18</f>
        <v>19307.823397868287</v>
      </c>
      <c r="P13" s="719">
        <f>industrie!O18</f>
        <v>0</v>
      </c>
      <c r="Q13" s="720">
        <f>industrie!P18</f>
        <v>0</v>
      </c>
      <c r="R13" s="722">
        <f>SUM(C13:Q13)</f>
        <v>226295.23759540915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226231.79124564785</v>
      </c>
      <c r="D15" s="724">
        <f t="shared" ref="D15:Q15" ca="1" si="0">SUM(D9:D14)</f>
        <v>900.00000000000023</v>
      </c>
      <c r="E15" s="724">
        <f t="shared" ca="1" si="0"/>
        <v>229833.03698116343</v>
      </c>
      <c r="F15" s="724">
        <f t="shared" si="0"/>
        <v>13852.78546248038</v>
      </c>
      <c r="G15" s="724">
        <f t="shared" ca="1" si="0"/>
        <v>53639.977387692685</v>
      </c>
      <c r="H15" s="724">
        <f t="shared" si="0"/>
        <v>0</v>
      </c>
      <c r="I15" s="724">
        <f t="shared" si="0"/>
        <v>0</v>
      </c>
      <c r="J15" s="724">
        <f t="shared" si="0"/>
        <v>0</v>
      </c>
      <c r="K15" s="724">
        <f t="shared" si="0"/>
        <v>381.73190299197989</v>
      </c>
      <c r="L15" s="724">
        <f t="shared" si="0"/>
        <v>0</v>
      </c>
      <c r="M15" s="724">
        <f t="shared" ca="1" si="0"/>
        <v>0</v>
      </c>
      <c r="N15" s="724">
        <f t="shared" si="0"/>
        <v>0</v>
      </c>
      <c r="O15" s="724">
        <f t="shared" ca="1" si="0"/>
        <v>49242.08085767056</v>
      </c>
      <c r="P15" s="724">
        <f t="shared" si="0"/>
        <v>365.82</v>
      </c>
      <c r="Q15" s="725">
        <f t="shared" si="0"/>
        <v>934.26666666666665</v>
      </c>
      <c r="R15" s="726">
        <f ca="1">SUM(R9:R14)</f>
        <v>575381.49050431349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2281.3996517949877</v>
      </c>
      <c r="I18" s="719">
        <f>transport!H54</f>
        <v>0</v>
      </c>
      <c r="J18" s="719">
        <f>transport!I54</f>
        <v>0</v>
      </c>
      <c r="K18" s="719">
        <f>transport!J54</f>
        <v>0</v>
      </c>
      <c r="L18" s="719">
        <f>transport!K54</f>
        <v>0</v>
      </c>
      <c r="M18" s="719">
        <f>transport!L54</f>
        <v>0</v>
      </c>
      <c r="N18" s="719">
        <f>transport!M54</f>
        <v>130.1015715026173</v>
      </c>
      <c r="O18" s="719">
        <f>transport!N54</f>
        <v>0</v>
      </c>
      <c r="P18" s="719">
        <f>transport!O54</f>
        <v>0</v>
      </c>
      <c r="Q18" s="720">
        <f>transport!P54</f>
        <v>0</v>
      </c>
      <c r="R18" s="722">
        <f>SUM(C18:Q18)</f>
        <v>2411.5012232976051</v>
      </c>
      <c r="S18" s="67"/>
    </row>
    <row r="19" spans="1:19" s="475" customFormat="1" ht="15" thickBot="1">
      <c r="A19" s="871" t="s">
        <v>307</v>
      </c>
      <c r="B19" s="876"/>
      <c r="C19" s="728">
        <f>transport!B14</f>
        <v>31.813039293384815</v>
      </c>
      <c r="D19" s="728">
        <f>transport!C14</f>
        <v>0</v>
      </c>
      <c r="E19" s="728">
        <f>transport!D14</f>
        <v>82.552581216965663</v>
      </c>
      <c r="F19" s="728">
        <f>transport!E14</f>
        <v>574.27586023752292</v>
      </c>
      <c r="G19" s="728">
        <f>transport!F14</f>
        <v>0</v>
      </c>
      <c r="H19" s="728">
        <f>transport!G14</f>
        <v>174338.79991173546</v>
      </c>
      <c r="I19" s="728">
        <f>transport!H14</f>
        <v>31729.870905545205</v>
      </c>
      <c r="J19" s="728">
        <f>transport!I14</f>
        <v>0</v>
      </c>
      <c r="K19" s="728">
        <f>transport!J14</f>
        <v>0</v>
      </c>
      <c r="L19" s="728">
        <f>transport!K14</f>
        <v>0</v>
      </c>
      <c r="M19" s="728">
        <f>transport!L14</f>
        <v>0</v>
      </c>
      <c r="N19" s="728">
        <f>transport!M14</f>
        <v>11061.467293816215</v>
      </c>
      <c r="O19" s="728">
        <f>transport!N14</f>
        <v>0</v>
      </c>
      <c r="P19" s="728">
        <f>transport!O14</f>
        <v>0</v>
      </c>
      <c r="Q19" s="729">
        <f>transport!P14</f>
        <v>0</v>
      </c>
      <c r="R19" s="730">
        <f>SUM(C19:Q19)</f>
        <v>217818.77959184477</v>
      </c>
      <c r="S19" s="67"/>
    </row>
    <row r="20" spans="1:19" s="475" customFormat="1" ht="15.75" thickBot="1">
      <c r="A20" s="731" t="s">
        <v>230</v>
      </c>
      <c r="B20" s="879"/>
      <c r="C20" s="874">
        <f>SUM(C17:C19)</f>
        <v>31.813039293384815</v>
      </c>
      <c r="D20" s="732">
        <f t="shared" ref="D20:R20" si="1">SUM(D17:D19)</f>
        <v>0</v>
      </c>
      <c r="E20" s="732">
        <f t="shared" si="1"/>
        <v>82.552581216965663</v>
      </c>
      <c r="F20" s="732">
        <f t="shared" si="1"/>
        <v>574.27586023752292</v>
      </c>
      <c r="G20" s="732">
        <f t="shared" si="1"/>
        <v>0</v>
      </c>
      <c r="H20" s="732">
        <f t="shared" si="1"/>
        <v>176620.19956353045</v>
      </c>
      <c r="I20" s="732">
        <f t="shared" si="1"/>
        <v>31729.870905545205</v>
      </c>
      <c r="J20" s="732">
        <f t="shared" si="1"/>
        <v>0</v>
      </c>
      <c r="K20" s="732">
        <f t="shared" si="1"/>
        <v>0</v>
      </c>
      <c r="L20" s="732">
        <f t="shared" si="1"/>
        <v>0</v>
      </c>
      <c r="M20" s="732">
        <f t="shared" si="1"/>
        <v>0</v>
      </c>
      <c r="N20" s="732">
        <f t="shared" si="1"/>
        <v>11191.568865318832</v>
      </c>
      <c r="O20" s="732">
        <f t="shared" si="1"/>
        <v>0</v>
      </c>
      <c r="P20" s="732">
        <f t="shared" si="1"/>
        <v>0</v>
      </c>
      <c r="Q20" s="733">
        <f t="shared" si="1"/>
        <v>0</v>
      </c>
      <c r="R20" s="734">
        <f t="shared" si="1"/>
        <v>220230.28081514238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2707.7867700000002</v>
      </c>
      <c r="D22" s="728">
        <f>+landbouw!C8</f>
        <v>32406.428571428572</v>
      </c>
      <c r="E22" s="728">
        <f>+landbouw!D8</f>
        <v>0</v>
      </c>
      <c r="F22" s="728">
        <f>+landbouw!E8</f>
        <v>25.080655189090251</v>
      </c>
      <c r="G22" s="728">
        <f>+landbouw!F8</f>
        <v>6870.1708683403267</v>
      </c>
      <c r="H22" s="728">
        <f>+landbouw!G8</f>
        <v>0</v>
      </c>
      <c r="I22" s="728">
        <f>+landbouw!H8</f>
        <v>0</v>
      </c>
      <c r="J22" s="728">
        <f>+landbouw!I8</f>
        <v>0</v>
      </c>
      <c r="K22" s="728">
        <f>+landbouw!J8</f>
        <v>415.13393082955014</v>
      </c>
      <c r="L22" s="728">
        <f>+landbouw!K8</f>
        <v>0</v>
      </c>
      <c r="M22" s="728">
        <f>+landbouw!L8</f>
        <v>0</v>
      </c>
      <c r="N22" s="728">
        <f>+landbouw!M8</f>
        <v>0</v>
      </c>
      <c r="O22" s="728">
        <f>+landbouw!N8</f>
        <v>0</v>
      </c>
      <c r="P22" s="728">
        <f>+landbouw!O8</f>
        <v>0</v>
      </c>
      <c r="Q22" s="729">
        <f>+landbouw!P8</f>
        <v>0</v>
      </c>
      <c r="R22" s="730">
        <f>SUM(C22:Q22)</f>
        <v>42424.600795787541</v>
      </c>
      <c r="S22" s="67"/>
    </row>
    <row r="23" spans="1:19" s="475" customFormat="1" ht="17.25" thickTop="1" thickBot="1">
      <c r="A23" s="735" t="s">
        <v>116</v>
      </c>
      <c r="B23" s="865"/>
      <c r="C23" s="736">
        <f ca="1">C20+C15+C22</f>
        <v>228971.39105494125</v>
      </c>
      <c r="D23" s="736">
        <f t="shared" ref="D23:Q23" ca="1" si="2">D20+D15+D22</f>
        <v>33306.428571428572</v>
      </c>
      <c r="E23" s="736">
        <f t="shared" ca="1" si="2"/>
        <v>229915.5895623804</v>
      </c>
      <c r="F23" s="736">
        <f t="shared" si="2"/>
        <v>14452.141977906995</v>
      </c>
      <c r="G23" s="736">
        <f t="shared" ca="1" si="2"/>
        <v>60510.148256033011</v>
      </c>
      <c r="H23" s="736">
        <f t="shared" si="2"/>
        <v>176620.19956353045</v>
      </c>
      <c r="I23" s="736">
        <f t="shared" si="2"/>
        <v>31729.870905545205</v>
      </c>
      <c r="J23" s="736">
        <f t="shared" si="2"/>
        <v>0</v>
      </c>
      <c r="K23" s="736">
        <f t="shared" si="2"/>
        <v>796.86583382153003</v>
      </c>
      <c r="L23" s="736">
        <f t="shared" si="2"/>
        <v>0</v>
      </c>
      <c r="M23" s="736">
        <f t="shared" ca="1" si="2"/>
        <v>0</v>
      </c>
      <c r="N23" s="736">
        <f t="shared" si="2"/>
        <v>11191.568865318832</v>
      </c>
      <c r="O23" s="736">
        <f t="shared" ca="1" si="2"/>
        <v>49242.08085767056</v>
      </c>
      <c r="P23" s="736">
        <f t="shared" si="2"/>
        <v>365.82</v>
      </c>
      <c r="Q23" s="737">
        <f t="shared" si="2"/>
        <v>934.26666666666665</v>
      </c>
      <c r="R23" s="738">
        <f ca="1">R20+R15+R22</f>
        <v>838036.37211524346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15632.726047756778</v>
      </c>
      <c r="D36" s="719">
        <f ca="1">tertiair!C20</f>
        <v>0</v>
      </c>
      <c r="E36" s="719">
        <f ca="1">tertiair!D20</f>
        <v>12057.078670027629</v>
      </c>
      <c r="F36" s="719">
        <f>tertiair!E20</f>
        <v>135.76926329276128</v>
      </c>
      <c r="G36" s="719">
        <f ca="1">tertiair!F20</f>
        <v>2843.6994970629089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30669.273478140076</v>
      </c>
    </row>
    <row r="37" spans="1:18">
      <c r="A37" s="886" t="s">
        <v>225</v>
      </c>
      <c r="B37" s="893"/>
      <c r="C37" s="719">
        <f ca="1">huishoudens!B12</f>
        <v>9472.4486436338866</v>
      </c>
      <c r="D37" s="719">
        <f ca="1">huishoudens!C12</f>
        <v>0</v>
      </c>
      <c r="E37" s="719">
        <f>huishoudens!D12</f>
        <v>24675.323528956262</v>
      </c>
      <c r="F37" s="719">
        <f>huishoudens!E12</f>
        <v>1425.6550673126046</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35573.427239902754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22832.236522167226</v>
      </c>
      <c r="D39" s="719">
        <f ca="1">industrie!C22</f>
        <v>213.88235294117658</v>
      </c>
      <c r="E39" s="719">
        <f>industrie!D22</f>
        <v>9693.8712712111264</v>
      </c>
      <c r="F39" s="719">
        <f>industrie!E22</f>
        <v>1583.1579693776807</v>
      </c>
      <c r="G39" s="719">
        <f>industrie!F22</f>
        <v>11478.174465451038</v>
      </c>
      <c r="H39" s="719">
        <f>industrie!G22</f>
        <v>0</v>
      </c>
      <c r="I39" s="719">
        <f>industrie!H22</f>
        <v>0</v>
      </c>
      <c r="J39" s="719">
        <f>industrie!I22</f>
        <v>0</v>
      </c>
      <c r="K39" s="719">
        <f>industrie!J22</f>
        <v>135.13309365916086</v>
      </c>
      <c r="L39" s="719">
        <f>industrie!K22</f>
        <v>0</v>
      </c>
      <c r="M39" s="719">
        <f>industrie!L22</f>
        <v>0</v>
      </c>
      <c r="N39" s="719">
        <f>industrie!M22</f>
        <v>0</v>
      </c>
      <c r="O39" s="719">
        <f>industrie!N22</f>
        <v>0</v>
      </c>
      <c r="P39" s="719">
        <f>industrie!O22</f>
        <v>0</v>
      </c>
      <c r="Q39" s="829">
        <f>industrie!P22</f>
        <v>0</v>
      </c>
      <c r="R39" s="919">
        <f ca="1">SUM(C39:Q39)</f>
        <v>45936.455674807417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47937.411213557891</v>
      </c>
      <c r="D41" s="764">
        <f t="shared" ref="D41:R41" ca="1" si="4">SUM(D35:D40)</f>
        <v>213.88235294117658</v>
      </c>
      <c r="E41" s="764">
        <f t="shared" ca="1" si="4"/>
        <v>46426.273470195025</v>
      </c>
      <c r="F41" s="764">
        <f t="shared" si="4"/>
        <v>3144.5822999830466</v>
      </c>
      <c r="G41" s="764">
        <f t="shared" ca="1" si="4"/>
        <v>14321.873962513948</v>
      </c>
      <c r="H41" s="764">
        <f t="shared" si="4"/>
        <v>0</v>
      </c>
      <c r="I41" s="764">
        <f t="shared" si="4"/>
        <v>0</v>
      </c>
      <c r="J41" s="764">
        <f t="shared" si="4"/>
        <v>0</v>
      </c>
      <c r="K41" s="764">
        <f t="shared" si="4"/>
        <v>135.13309365916086</v>
      </c>
      <c r="L41" s="764">
        <f t="shared" si="4"/>
        <v>0</v>
      </c>
      <c r="M41" s="764">
        <f t="shared" ca="1" si="4"/>
        <v>0</v>
      </c>
      <c r="N41" s="764">
        <f t="shared" si="4"/>
        <v>0</v>
      </c>
      <c r="O41" s="764">
        <f t="shared" ca="1" si="4"/>
        <v>0</v>
      </c>
      <c r="P41" s="764">
        <f t="shared" si="4"/>
        <v>0</v>
      </c>
      <c r="Q41" s="765">
        <f t="shared" si="4"/>
        <v>0</v>
      </c>
      <c r="R41" s="766">
        <f t="shared" ca="1" si="4"/>
        <v>112179.15639285024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609.1337070292617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609.1337070292617</v>
      </c>
    </row>
    <row r="45" spans="1:18" ht="15" thickBot="1">
      <c r="A45" s="889" t="s">
        <v>307</v>
      </c>
      <c r="B45" s="899"/>
      <c r="C45" s="728">
        <f ca="1">transport!B18</f>
        <v>6.7410275901681036</v>
      </c>
      <c r="D45" s="728">
        <f>transport!C18</f>
        <v>0</v>
      </c>
      <c r="E45" s="728">
        <f>transport!D18</f>
        <v>16.675621405827066</v>
      </c>
      <c r="F45" s="728">
        <f>transport!E18</f>
        <v>130.3606202739177</v>
      </c>
      <c r="G45" s="728">
        <f>transport!F18</f>
        <v>0</v>
      </c>
      <c r="H45" s="728">
        <f>transport!G18</f>
        <v>46548.459576433372</v>
      </c>
      <c r="I45" s="728">
        <f>transport!H18</f>
        <v>7900.7378554807565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54602.974701184045</v>
      </c>
    </row>
    <row r="46" spans="1:18" ht="15.75" thickBot="1">
      <c r="A46" s="887" t="s">
        <v>230</v>
      </c>
      <c r="B46" s="900"/>
      <c r="C46" s="764">
        <f t="shared" ref="C46:R46" ca="1" si="5">SUM(C43:C45)</f>
        <v>6.7410275901681036</v>
      </c>
      <c r="D46" s="764">
        <f t="shared" ca="1" si="5"/>
        <v>0</v>
      </c>
      <c r="E46" s="764">
        <f t="shared" si="5"/>
        <v>16.675621405827066</v>
      </c>
      <c r="F46" s="764">
        <f t="shared" si="5"/>
        <v>130.3606202739177</v>
      </c>
      <c r="G46" s="764">
        <f t="shared" si="5"/>
        <v>0</v>
      </c>
      <c r="H46" s="764">
        <f t="shared" si="5"/>
        <v>47157.593283462636</v>
      </c>
      <c r="I46" s="764">
        <f t="shared" si="5"/>
        <v>7900.7378554807565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55212.108408213309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573.76678652195756</v>
      </c>
      <c r="D48" s="719">
        <f ca="1">+landbouw!C12</f>
        <v>7701.2924369747916</v>
      </c>
      <c r="E48" s="719">
        <f>+landbouw!D12</f>
        <v>0</v>
      </c>
      <c r="F48" s="719">
        <f>+landbouw!E12</f>
        <v>5.6933087279234869</v>
      </c>
      <c r="G48" s="719">
        <f>+landbouw!F12</f>
        <v>1834.3356218468673</v>
      </c>
      <c r="H48" s="719">
        <f>+landbouw!G12</f>
        <v>0</v>
      </c>
      <c r="I48" s="719">
        <f>+landbouw!H12</f>
        <v>0</v>
      </c>
      <c r="J48" s="719">
        <f>+landbouw!I12</f>
        <v>0</v>
      </c>
      <c r="K48" s="719">
        <f>+landbouw!J12</f>
        <v>146.95741151366073</v>
      </c>
      <c r="L48" s="719">
        <f>+landbouw!K12</f>
        <v>0</v>
      </c>
      <c r="M48" s="719">
        <f>+landbouw!L12</f>
        <v>0</v>
      </c>
      <c r="N48" s="719">
        <f>+landbouw!M12</f>
        <v>0</v>
      </c>
      <c r="O48" s="719">
        <f>+landbouw!N12</f>
        <v>0</v>
      </c>
      <c r="P48" s="719">
        <f>+landbouw!O12</f>
        <v>0</v>
      </c>
      <c r="Q48" s="720">
        <f>+landbouw!P12</f>
        <v>0</v>
      </c>
      <c r="R48" s="762">
        <f ca="1">SUM(C48:Q48)</f>
        <v>10262.0455655852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48517.919027670017</v>
      </c>
      <c r="D53" s="774">
        <f t="shared" ref="D53:Q53" ca="1" si="6">D41+D46+D48</f>
        <v>7915.1747899159682</v>
      </c>
      <c r="E53" s="774">
        <f t="shared" ca="1" si="6"/>
        <v>46442.949091600851</v>
      </c>
      <c r="F53" s="774">
        <f t="shared" si="6"/>
        <v>3280.636228984888</v>
      </c>
      <c r="G53" s="774">
        <f t="shared" ca="1" si="6"/>
        <v>16156.209584360815</v>
      </c>
      <c r="H53" s="774">
        <f t="shared" si="6"/>
        <v>47157.593283462636</v>
      </c>
      <c r="I53" s="774">
        <f t="shared" si="6"/>
        <v>7900.7378554807565</v>
      </c>
      <c r="J53" s="774">
        <f t="shared" si="6"/>
        <v>0</v>
      </c>
      <c r="K53" s="774">
        <f t="shared" si="6"/>
        <v>282.09050517282162</v>
      </c>
      <c r="L53" s="774">
        <f t="shared" si="6"/>
        <v>0</v>
      </c>
      <c r="M53" s="774">
        <f t="shared" ca="1" si="6"/>
        <v>0</v>
      </c>
      <c r="N53" s="774">
        <f t="shared" si="6"/>
        <v>0</v>
      </c>
      <c r="O53" s="774">
        <f t="shared" ca="1" si="6"/>
        <v>0</v>
      </c>
      <c r="P53" s="774">
        <f>P41+P46+P48</f>
        <v>0</v>
      </c>
      <c r="Q53" s="775">
        <f t="shared" si="6"/>
        <v>0</v>
      </c>
      <c r="R53" s="776">
        <f ca="1">R41+R46+R48</f>
        <v>177653.31036664874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0.21189511407575035</v>
      </c>
      <c r="D55" s="837">
        <f t="shared" ca="1" si="7"/>
        <v>0.23764705882352946</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10289.48528693747</v>
      </c>
      <c r="C66" s="796">
        <f>'lokale energieproductie'!B6</f>
        <v>10289.48528693747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23314.5</v>
      </c>
      <c r="C67" s="795">
        <f>B67*IFERROR(SUM(J67:L67)/SUM(D67:M67),0)</f>
        <v>0</v>
      </c>
      <c r="D67" s="827">
        <f>'lokale energieproductie'!C7</f>
        <v>27428.823529411766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5540.6223529411773</v>
      </c>
      <c r="P67" s="923">
        <v>0</v>
      </c>
      <c r="Q67" s="786"/>
      <c r="R67" s="743"/>
    </row>
    <row r="68" spans="1:18" ht="30.75" thickBot="1">
      <c r="A68" s="802" t="s">
        <v>353</v>
      </c>
      <c r="B68" s="795">
        <f>'lokale energieproductie'!B8</f>
        <v>900</v>
      </c>
      <c r="C68" s="795">
        <f>B68*IFERROR(SUM(J68:L68)/SUM(D68:M68),0)</f>
        <v>900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2571.4285714285716</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34503.985286937474</v>
      </c>
      <c r="C69" s="804">
        <f>SUM(C64:C68)</f>
        <v>11189.48528693747</v>
      </c>
      <c r="D69" s="805">
        <f t="shared" ref="D69:M69" si="8">SUM(D67:D68)</f>
        <v>27428.823529411766</v>
      </c>
      <c r="E69" s="805">
        <f t="shared" si="8"/>
        <v>0</v>
      </c>
      <c r="F69" s="805">
        <f t="shared" si="8"/>
        <v>0</v>
      </c>
      <c r="G69" s="805">
        <f t="shared" si="8"/>
        <v>0</v>
      </c>
      <c r="H69" s="805">
        <f t="shared" si="8"/>
        <v>0</v>
      </c>
      <c r="I69" s="805">
        <f t="shared" si="8"/>
        <v>0</v>
      </c>
      <c r="J69" s="805">
        <f t="shared" si="8"/>
        <v>0</v>
      </c>
      <c r="K69" s="805">
        <f t="shared" si="8"/>
        <v>2571.4285714285716</v>
      </c>
      <c r="L69" s="805">
        <f t="shared" si="8"/>
        <v>0</v>
      </c>
      <c r="M69" s="931">
        <f t="shared" si="8"/>
        <v>0</v>
      </c>
      <c r="N69" s="806">
        <v>0</v>
      </c>
      <c r="O69" s="806">
        <f>SUM(O67:O68)</f>
        <v>5540.6223529411773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33306.428571428572</v>
      </c>
      <c r="C78" s="818">
        <f>B78*IFERROR(SUM(I78:L78)/SUM(D78:M78),0)</f>
        <v>0</v>
      </c>
      <c r="D78" s="833">
        <f>'lokale energieproductie'!C16</f>
        <v>39184.033613445383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7915.1747899159682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33306.428571428572</v>
      </c>
      <c r="C81" s="804">
        <f>SUM(C78:C80)</f>
        <v>0</v>
      </c>
      <c r="D81" s="804">
        <f t="shared" ref="D81:P81" si="9">SUM(D78:D80)</f>
        <v>39184.033613445383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7915.1747899159682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44703.478345647847</v>
      </c>
      <c r="C4" s="479">
        <f>huishoudens!C8</f>
        <v>0</v>
      </c>
      <c r="D4" s="479">
        <f>huishoudens!D8</f>
        <v>122155.06697503099</v>
      </c>
      <c r="E4" s="479">
        <f>huishoudens!E8</f>
        <v>6280.418798733941</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25597.694647938504</v>
      </c>
      <c r="O4" s="479">
        <f>huishoudens!O8</f>
        <v>364.25666666666666</v>
      </c>
      <c r="P4" s="480">
        <f>huishoudens!P8</f>
        <v>743.6</v>
      </c>
      <c r="Q4" s="481">
        <f>SUM(B4:P4)</f>
        <v>199844.51543401796</v>
      </c>
    </row>
    <row r="5" spans="1:17">
      <c r="A5" s="478" t="s">
        <v>156</v>
      </c>
      <c r="B5" s="479">
        <f ca="1">tertiair!B16</f>
        <v>72421.494000000006</v>
      </c>
      <c r="C5" s="479">
        <f ca="1">tertiair!C16</f>
        <v>0</v>
      </c>
      <c r="D5" s="479">
        <f ca="1">tertiair!D16</f>
        <v>59688.508267463505</v>
      </c>
      <c r="E5" s="479">
        <f>tertiair!E16</f>
        <v>598.10248146590868</v>
      </c>
      <c r="F5" s="479">
        <f ca="1">tertiair!F16</f>
        <v>10650.559914093292</v>
      </c>
      <c r="G5" s="479">
        <f>tertiair!G16</f>
        <v>0</v>
      </c>
      <c r="H5" s="479">
        <f>tertiair!H16</f>
        <v>0</v>
      </c>
      <c r="I5" s="479">
        <f>tertiair!I16</f>
        <v>0</v>
      </c>
      <c r="J5" s="479">
        <f>tertiair!J16</f>
        <v>0</v>
      </c>
      <c r="K5" s="479">
        <f>tertiair!K16</f>
        <v>0</v>
      </c>
      <c r="L5" s="479">
        <f ca="1">tertiair!L16</f>
        <v>0</v>
      </c>
      <c r="M5" s="479">
        <f>tertiair!M16</f>
        <v>0</v>
      </c>
      <c r="N5" s="479">
        <f ca="1">tertiair!N16</f>
        <v>4336.5628118637669</v>
      </c>
      <c r="O5" s="479">
        <f>tertiair!O16</f>
        <v>1.5633333333333335</v>
      </c>
      <c r="P5" s="480">
        <f>tertiair!P16</f>
        <v>190.66666666666669</v>
      </c>
      <c r="Q5" s="478">
        <f t="shared" ref="Q5:Q13" ca="1" si="0">SUM(B5:P5)</f>
        <v>147887.45747488644</v>
      </c>
    </row>
    <row r="6" spans="1:17">
      <c r="A6" s="478" t="s">
        <v>194</v>
      </c>
      <c r="B6" s="479">
        <f>'openbare verlichting'!B8</f>
        <v>1354.28</v>
      </c>
      <c r="C6" s="479"/>
      <c r="D6" s="479"/>
      <c r="E6" s="479"/>
      <c r="F6" s="479"/>
      <c r="G6" s="479"/>
      <c r="H6" s="479"/>
      <c r="I6" s="479"/>
      <c r="J6" s="479"/>
      <c r="K6" s="479"/>
      <c r="L6" s="479"/>
      <c r="M6" s="479"/>
      <c r="N6" s="479"/>
      <c r="O6" s="479"/>
      <c r="P6" s="480"/>
      <c r="Q6" s="478">
        <f t="shared" si="0"/>
        <v>1354.28</v>
      </c>
    </row>
    <row r="7" spans="1:17">
      <c r="A7" s="478" t="s">
        <v>112</v>
      </c>
      <c r="B7" s="479">
        <f>landbouw!B8</f>
        <v>2707.7867700000002</v>
      </c>
      <c r="C7" s="479">
        <f>landbouw!C8</f>
        <v>32406.428571428572</v>
      </c>
      <c r="D7" s="479">
        <f>landbouw!D8</f>
        <v>0</v>
      </c>
      <c r="E7" s="479">
        <f>landbouw!E8</f>
        <v>25.080655189090251</v>
      </c>
      <c r="F7" s="479">
        <f>landbouw!F8</f>
        <v>6870.1708683403267</v>
      </c>
      <c r="G7" s="479">
        <f>landbouw!G8</f>
        <v>0</v>
      </c>
      <c r="H7" s="479">
        <f>landbouw!H8</f>
        <v>0</v>
      </c>
      <c r="I7" s="479">
        <f>landbouw!I8</f>
        <v>0</v>
      </c>
      <c r="J7" s="479">
        <f>landbouw!J8</f>
        <v>415.13393082955014</v>
      </c>
      <c r="K7" s="479">
        <f>landbouw!K8</f>
        <v>0</v>
      </c>
      <c r="L7" s="479">
        <f>landbouw!L8</f>
        <v>0</v>
      </c>
      <c r="M7" s="479">
        <f>landbouw!M8</f>
        <v>0</v>
      </c>
      <c r="N7" s="479">
        <f>landbouw!N8</f>
        <v>0</v>
      </c>
      <c r="O7" s="479">
        <f>landbouw!O8</f>
        <v>0</v>
      </c>
      <c r="P7" s="480">
        <f>landbouw!P8</f>
        <v>0</v>
      </c>
      <c r="Q7" s="478">
        <f t="shared" si="0"/>
        <v>42424.600795787541</v>
      </c>
    </row>
    <row r="8" spans="1:17">
      <c r="A8" s="478" t="s">
        <v>650</v>
      </c>
      <c r="B8" s="479">
        <f>industrie!B18</f>
        <v>107752.5389</v>
      </c>
      <c r="C8" s="479">
        <f>industrie!C18</f>
        <v>900.00000000000023</v>
      </c>
      <c r="D8" s="479">
        <f>industrie!D18</f>
        <v>47989.461738668942</v>
      </c>
      <c r="E8" s="479">
        <f>industrie!E18</f>
        <v>6974.2641822805317</v>
      </c>
      <c r="F8" s="479">
        <f>industrie!F18</f>
        <v>42989.417473599395</v>
      </c>
      <c r="G8" s="479">
        <f>industrie!G18</f>
        <v>0</v>
      </c>
      <c r="H8" s="479">
        <f>industrie!H18</f>
        <v>0</v>
      </c>
      <c r="I8" s="479">
        <f>industrie!I18</f>
        <v>0</v>
      </c>
      <c r="J8" s="479">
        <f>industrie!J18</f>
        <v>381.73190299197989</v>
      </c>
      <c r="K8" s="479">
        <f>industrie!K18</f>
        <v>0</v>
      </c>
      <c r="L8" s="479">
        <f>industrie!L18</f>
        <v>0</v>
      </c>
      <c r="M8" s="479">
        <f>industrie!M18</f>
        <v>0</v>
      </c>
      <c r="N8" s="479">
        <f>industrie!N18</f>
        <v>19307.823397868287</v>
      </c>
      <c r="O8" s="479">
        <f>industrie!O18</f>
        <v>0</v>
      </c>
      <c r="P8" s="480">
        <f>industrie!P18</f>
        <v>0</v>
      </c>
      <c r="Q8" s="478">
        <f t="shared" si="0"/>
        <v>226295.23759540915</v>
      </c>
    </row>
    <row r="9" spans="1:17" s="484" customFormat="1">
      <c r="A9" s="482" t="s">
        <v>571</v>
      </c>
      <c r="B9" s="483">
        <f>transport!B14</f>
        <v>31.813039293384815</v>
      </c>
      <c r="C9" s="483">
        <f>transport!C14</f>
        <v>0</v>
      </c>
      <c r="D9" s="483">
        <f>transport!D14</f>
        <v>82.552581216965663</v>
      </c>
      <c r="E9" s="483">
        <f>transport!E14</f>
        <v>574.27586023752292</v>
      </c>
      <c r="F9" s="483">
        <f>transport!F14</f>
        <v>0</v>
      </c>
      <c r="G9" s="483">
        <f>transport!G14</f>
        <v>174338.79991173546</v>
      </c>
      <c r="H9" s="483">
        <f>transport!H14</f>
        <v>31729.870905545205</v>
      </c>
      <c r="I9" s="483">
        <f>transport!I14</f>
        <v>0</v>
      </c>
      <c r="J9" s="483">
        <f>transport!J14</f>
        <v>0</v>
      </c>
      <c r="K9" s="483">
        <f>transport!K14</f>
        <v>0</v>
      </c>
      <c r="L9" s="483">
        <f>transport!L14</f>
        <v>0</v>
      </c>
      <c r="M9" s="483">
        <f>transport!M14</f>
        <v>11061.467293816215</v>
      </c>
      <c r="N9" s="483">
        <f>transport!N14</f>
        <v>0</v>
      </c>
      <c r="O9" s="483">
        <f>transport!O14</f>
        <v>0</v>
      </c>
      <c r="P9" s="483">
        <f>transport!P14</f>
        <v>0</v>
      </c>
      <c r="Q9" s="482">
        <f>SUM(B9:P9)</f>
        <v>217818.77959184477</v>
      </c>
    </row>
    <row r="10" spans="1:17">
      <c r="A10" s="478" t="s">
        <v>561</v>
      </c>
      <c r="B10" s="479">
        <f>transport!B54</f>
        <v>0</v>
      </c>
      <c r="C10" s="479">
        <f>transport!C54</f>
        <v>0</v>
      </c>
      <c r="D10" s="479">
        <f>transport!D54</f>
        <v>0</v>
      </c>
      <c r="E10" s="479">
        <f>transport!E54</f>
        <v>0</v>
      </c>
      <c r="F10" s="479">
        <f>transport!F54</f>
        <v>0</v>
      </c>
      <c r="G10" s="479">
        <f>transport!G54</f>
        <v>2281.3996517949877</v>
      </c>
      <c r="H10" s="479">
        <f>transport!H54</f>
        <v>0</v>
      </c>
      <c r="I10" s="479">
        <f>transport!I54</f>
        <v>0</v>
      </c>
      <c r="J10" s="479">
        <f>transport!J54</f>
        <v>0</v>
      </c>
      <c r="K10" s="479">
        <f>transport!K54</f>
        <v>0</v>
      </c>
      <c r="L10" s="479">
        <f>transport!L54</f>
        <v>0</v>
      </c>
      <c r="M10" s="479">
        <f>transport!M54</f>
        <v>130.1015715026173</v>
      </c>
      <c r="N10" s="479">
        <f>transport!N54</f>
        <v>0</v>
      </c>
      <c r="O10" s="479">
        <f>transport!O54</f>
        <v>0</v>
      </c>
      <c r="P10" s="480">
        <f>transport!P54</f>
        <v>0</v>
      </c>
      <c r="Q10" s="478">
        <f t="shared" si="0"/>
        <v>2411.5012232976051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228971.39105494125</v>
      </c>
      <c r="C14" s="489">
        <f t="shared" ref="C14:Q14" ca="1" si="1">SUM(C4:C13)</f>
        <v>33306.428571428572</v>
      </c>
      <c r="D14" s="489">
        <f t="shared" ca="1" si="1"/>
        <v>229915.5895623804</v>
      </c>
      <c r="E14" s="489">
        <f t="shared" si="1"/>
        <v>14452.141977906995</v>
      </c>
      <c r="F14" s="489">
        <f t="shared" ca="1" si="1"/>
        <v>60510.148256033011</v>
      </c>
      <c r="G14" s="489">
        <f t="shared" si="1"/>
        <v>176620.19956353045</v>
      </c>
      <c r="H14" s="489">
        <f t="shared" si="1"/>
        <v>31729.870905545205</v>
      </c>
      <c r="I14" s="489">
        <f t="shared" si="1"/>
        <v>0</v>
      </c>
      <c r="J14" s="489">
        <f t="shared" si="1"/>
        <v>796.86583382153003</v>
      </c>
      <c r="K14" s="489">
        <f t="shared" si="1"/>
        <v>0</v>
      </c>
      <c r="L14" s="489">
        <f t="shared" ca="1" si="1"/>
        <v>0</v>
      </c>
      <c r="M14" s="489">
        <f t="shared" si="1"/>
        <v>11191.568865318832</v>
      </c>
      <c r="N14" s="489">
        <f t="shared" ca="1" si="1"/>
        <v>49242.08085767056</v>
      </c>
      <c r="O14" s="489">
        <f t="shared" si="1"/>
        <v>365.82</v>
      </c>
      <c r="P14" s="490">
        <f t="shared" si="1"/>
        <v>934.26666666666665</v>
      </c>
      <c r="Q14" s="490">
        <f t="shared" ca="1" si="1"/>
        <v>838036.37211524346</v>
      </c>
    </row>
    <row r="16" spans="1:17">
      <c r="A16" s="492" t="s">
        <v>566</v>
      </c>
      <c r="B16" s="842">
        <f ca="1">huishoudens!B10</f>
        <v>0.21189511407575035</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9472.4486436338866</v>
      </c>
      <c r="C21" s="479">
        <f t="shared" ref="C21:C30" ca="1" si="3">C4*$C$16</f>
        <v>0</v>
      </c>
      <c r="D21" s="479">
        <f t="shared" ref="D21:D30" si="4">D4*$D$16</f>
        <v>24675.323528956262</v>
      </c>
      <c r="E21" s="479">
        <f t="shared" ref="E21:E30" si="5">E4*$E$16</f>
        <v>1425.6550673126046</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35573.427239902754</v>
      </c>
    </row>
    <row r="22" spans="1:17">
      <c r="A22" s="478" t="s">
        <v>156</v>
      </c>
      <c r="B22" s="479">
        <f t="shared" ca="1" si="2"/>
        <v>15345.760732666271</v>
      </c>
      <c r="C22" s="479">
        <f t="shared" ca="1" si="3"/>
        <v>0</v>
      </c>
      <c r="D22" s="479">
        <f t="shared" ca="1" si="4"/>
        <v>12057.078670027629</v>
      </c>
      <c r="E22" s="479">
        <f t="shared" si="5"/>
        <v>135.76926329276128</v>
      </c>
      <c r="F22" s="479">
        <f t="shared" ca="1" si="6"/>
        <v>2843.6994970629089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30382.308163049569</v>
      </c>
    </row>
    <row r="23" spans="1:17">
      <c r="A23" s="478" t="s">
        <v>194</v>
      </c>
      <c r="B23" s="479">
        <f t="shared" ca="1" si="2"/>
        <v>286.96531509050715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286.96531509050715</v>
      </c>
    </row>
    <row r="24" spans="1:17">
      <c r="A24" s="478" t="s">
        <v>112</v>
      </c>
      <c r="B24" s="479">
        <f t="shared" ca="1" si="2"/>
        <v>573.76678652195756</v>
      </c>
      <c r="C24" s="479">
        <f t="shared" ca="1" si="3"/>
        <v>7701.2924369747916</v>
      </c>
      <c r="D24" s="479">
        <f t="shared" si="4"/>
        <v>0</v>
      </c>
      <c r="E24" s="479">
        <f t="shared" si="5"/>
        <v>5.6933087279234869</v>
      </c>
      <c r="F24" s="479">
        <f t="shared" si="6"/>
        <v>1834.3356218468673</v>
      </c>
      <c r="G24" s="479">
        <f t="shared" si="7"/>
        <v>0</v>
      </c>
      <c r="H24" s="479">
        <f t="shared" si="8"/>
        <v>0</v>
      </c>
      <c r="I24" s="479">
        <f t="shared" si="9"/>
        <v>0</v>
      </c>
      <c r="J24" s="479">
        <f t="shared" si="10"/>
        <v>146.95741151366073</v>
      </c>
      <c r="K24" s="479">
        <f t="shared" si="11"/>
        <v>0</v>
      </c>
      <c r="L24" s="479">
        <f t="shared" si="12"/>
        <v>0</v>
      </c>
      <c r="M24" s="479">
        <f t="shared" si="13"/>
        <v>0</v>
      </c>
      <c r="N24" s="479">
        <f t="shared" si="14"/>
        <v>0</v>
      </c>
      <c r="O24" s="479">
        <f t="shared" si="15"/>
        <v>0</v>
      </c>
      <c r="P24" s="480">
        <f t="shared" si="16"/>
        <v>0</v>
      </c>
      <c r="Q24" s="478">
        <f t="shared" ca="1" si="17"/>
        <v>10262.0455655852</v>
      </c>
    </row>
    <row r="25" spans="1:17">
      <c r="A25" s="478" t="s">
        <v>650</v>
      </c>
      <c r="B25" s="479">
        <f t="shared" ca="1" si="2"/>
        <v>22832.236522167226</v>
      </c>
      <c r="C25" s="479">
        <f t="shared" ca="1" si="3"/>
        <v>213.88235294117658</v>
      </c>
      <c r="D25" s="479">
        <f t="shared" si="4"/>
        <v>9693.8712712111264</v>
      </c>
      <c r="E25" s="479">
        <f t="shared" si="5"/>
        <v>1583.1579693776807</v>
      </c>
      <c r="F25" s="479">
        <f t="shared" si="6"/>
        <v>11478.174465451038</v>
      </c>
      <c r="G25" s="479">
        <f t="shared" si="7"/>
        <v>0</v>
      </c>
      <c r="H25" s="479">
        <f t="shared" si="8"/>
        <v>0</v>
      </c>
      <c r="I25" s="479">
        <f t="shared" si="9"/>
        <v>0</v>
      </c>
      <c r="J25" s="479">
        <f t="shared" si="10"/>
        <v>135.13309365916086</v>
      </c>
      <c r="K25" s="479">
        <f t="shared" si="11"/>
        <v>0</v>
      </c>
      <c r="L25" s="479">
        <f t="shared" si="12"/>
        <v>0</v>
      </c>
      <c r="M25" s="479">
        <f t="shared" si="13"/>
        <v>0</v>
      </c>
      <c r="N25" s="479">
        <f t="shared" si="14"/>
        <v>0</v>
      </c>
      <c r="O25" s="479">
        <f t="shared" si="15"/>
        <v>0</v>
      </c>
      <c r="P25" s="480">
        <f t="shared" si="16"/>
        <v>0</v>
      </c>
      <c r="Q25" s="478">
        <f t="shared" ca="1" si="17"/>
        <v>45936.455674807417</v>
      </c>
    </row>
    <row r="26" spans="1:17" s="484" customFormat="1">
      <c r="A26" s="482" t="s">
        <v>571</v>
      </c>
      <c r="B26" s="836">
        <f t="shared" ca="1" si="2"/>
        <v>6.7410275901681036</v>
      </c>
      <c r="C26" s="483">
        <f t="shared" ca="1" si="3"/>
        <v>0</v>
      </c>
      <c r="D26" s="483">
        <f t="shared" si="4"/>
        <v>16.675621405827066</v>
      </c>
      <c r="E26" s="483">
        <f t="shared" si="5"/>
        <v>130.3606202739177</v>
      </c>
      <c r="F26" s="483">
        <f t="shared" si="6"/>
        <v>0</v>
      </c>
      <c r="G26" s="483">
        <f t="shared" si="7"/>
        <v>46548.459576433372</v>
      </c>
      <c r="H26" s="483">
        <f t="shared" si="8"/>
        <v>7900.7378554807565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54602.974701184045</v>
      </c>
    </row>
    <row r="27" spans="1:17">
      <c r="A27" s="478" t="s">
        <v>561</v>
      </c>
      <c r="B27" s="479">
        <f t="shared" ca="1" si="2"/>
        <v>0</v>
      </c>
      <c r="C27" s="479">
        <f t="shared" ca="1" si="3"/>
        <v>0</v>
      </c>
      <c r="D27" s="479">
        <f t="shared" si="4"/>
        <v>0</v>
      </c>
      <c r="E27" s="479">
        <f t="shared" si="5"/>
        <v>0</v>
      </c>
      <c r="F27" s="479">
        <f t="shared" si="6"/>
        <v>0</v>
      </c>
      <c r="G27" s="479">
        <f t="shared" si="7"/>
        <v>609.1337070292617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609.1337070292617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48517.919027670017</v>
      </c>
      <c r="C31" s="489">
        <f t="shared" ca="1" si="18"/>
        <v>7915.1747899159682</v>
      </c>
      <c r="D31" s="489">
        <f t="shared" ca="1" si="18"/>
        <v>46442.949091600851</v>
      </c>
      <c r="E31" s="489">
        <f t="shared" si="18"/>
        <v>3280.636228984888</v>
      </c>
      <c r="F31" s="489">
        <f t="shared" ca="1" si="18"/>
        <v>16156.209584360815</v>
      </c>
      <c r="G31" s="489">
        <f t="shared" si="18"/>
        <v>47157.593283462636</v>
      </c>
      <c r="H31" s="489">
        <f t="shared" si="18"/>
        <v>7900.7378554807565</v>
      </c>
      <c r="I31" s="489">
        <f t="shared" si="18"/>
        <v>0</v>
      </c>
      <c r="J31" s="489">
        <f t="shared" si="18"/>
        <v>282.09050517282162</v>
      </c>
      <c r="K31" s="489">
        <f t="shared" si="18"/>
        <v>0</v>
      </c>
      <c r="L31" s="489">
        <f t="shared" ca="1" si="18"/>
        <v>0</v>
      </c>
      <c r="M31" s="489">
        <f t="shared" si="18"/>
        <v>0</v>
      </c>
      <c r="N31" s="489">
        <f t="shared" ca="1" si="18"/>
        <v>0</v>
      </c>
      <c r="O31" s="489">
        <f t="shared" si="18"/>
        <v>0</v>
      </c>
      <c r="P31" s="490">
        <f t="shared" si="18"/>
        <v>0</v>
      </c>
      <c r="Q31" s="490">
        <f t="shared" ca="1" si="18"/>
        <v>177653.31036664874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0.21189511407575035</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2</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38.133333333333333</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0.21189511407575035</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0.21189511407575035</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12103</v>
      </c>
      <c r="C9" s="342">
        <v>12306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1552</v>
      </c>
    </row>
    <row r="15" spans="1:6">
      <c r="A15" s="348" t="s">
        <v>184</v>
      </c>
      <c r="B15" s="334">
        <v>1710</v>
      </c>
    </row>
    <row r="16" spans="1:6">
      <c r="A16" s="348" t="s">
        <v>6</v>
      </c>
      <c r="B16" s="334">
        <v>561</v>
      </c>
    </row>
    <row r="17" spans="1:6">
      <c r="A17" s="348" t="s">
        <v>7</v>
      </c>
      <c r="B17" s="334">
        <v>115</v>
      </c>
    </row>
    <row r="18" spans="1:6">
      <c r="A18" s="348" t="s">
        <v>8</v>
      </c>
      <c r="B18" s="334">
        <v>333</v>
      </c>
    </row>
    <row r="19" spans="1:6">
      <c r="A19" s="348" t="s">
        <v>9</v>
      </c>
      <c r="B19" s="334">
        <v>338</v>
      </c>
    </row>
    <row r="20" spans="1:6">
      <c r="A20" s="348" t="s">
        <v>10</v>
      </c>
      <c r="B20" s="334">
        <v>182</v>
      </c>
    </row>
    <row r="21" spans="1:6">
      <c r="A21" s="348" t="s">
        <v>11</v>
      </c>
      <c r="B21" s="334">
        <v>1301</v>
      </c>
    </row>
    <row r="22" spans="1:6">
      <c r="A22" s="348" t="s">
        <v>12</v>
      </c>
      <c r="B22" s="334">
        <v>4784</v>
      </c>
    </row>
    <row r="23" spans="1:6">
      <c r="A23" s="348" t="s">
        <v>13</v>
      </c>
      <c r="B23" s="334">
        <v>63</v>
      </c>
    </row>
    <row r="24" spans="1:6">
      <c r="A24" s="348" t="s">
        <v>14</v>
      </c>
      <c r="B24" s="334">
        <v>1</v>
      </c>
    </row>
    <row r="25" spans="1:6">
      <c r="A25" s="348" t="s">
        <v>15</v>
      </c>
      <c r="B25" s="334">
        <v>294</v>
      </c>
    </row>
    <row r="26" spans="1:6">
      <c r="A26" s="348" t="s">
        <v>16</v>
      </c>
      <c r="B26" s="334">
        <v>111</v>
      </c>
    </row>
    <row r="27" spans="1:6">
      <c r="A27" s="348" t="s">
        <v>17</v>
      </c>
      <c r="B27" s="334">
        <v>0</v>
      </c>
    </row>
    <row r="28" spans="1:6" s="356" customFormat="1">
      <c r="A28" s="355" t="s">
        <v>18</v>
      </c>
      <c r="B28" s="355">
        <v>119545</v>
      </c>
    </row>
    <row r="29" spans="1:6">
      <c r="A29" s="355" t="s">
        <v>828</v>
      </c>
      <c r="B29" s="355">
        <v>201</v>
      </c>
      <c r="C29" s="356"/>
      <c r="D29" s="356"/>
      <c r="E29" s="356"/>
      <c r="F29" s="356"/>
    </row>
    <row r="30" spans="1:6">
      <c r="A30" s="341" t="s">
        <v>829</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24982.639999999999</v>
      </c>
    </row>
    <row r="36" spans="1:6">
      <c r="A36" s="348" t="s">
        <v>25</v>
      </c>
      <c r="B36" s="348" t="s">
        <v>27</v>
      </c>
      <c r="C36" s="334">
        <v>5</v>
      </c>
      <c r="D36" s="334">
        <v>694489.50488563697</v>
      </c>
      <c r="E36" s="334">
        <v>8</v>
      </c>
      <c r="F36" s="334">
        <v>129857.3</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9684</v>
      </c>
      <c r="D39" s="334">
        <v>135426903.51999</v>
      </c>
      <c r="E39" s="334">
        <v>12143</v>
      </c>
      <c r="F39" s="334">
        <v>40454680</v>
      </c>
    </row>
    <row r="40" spans="1:6">
      <c r="A40" s="348" t="s">
        <v>30</v>
      </c>
      <c r="B40" s="348" t="s">
        <v>29</v>
      </c>
      <c r="C40" s="334">
        <v>0</v>
      </c>
      <c r="D40" s="334">
        <v>0</v>
      </c>
      <c r="E40" s="334">
        <v>0</v>
      </c>
      <c r="F40" s="334">
        <v>0</v>
      </c>
    </row>
    <row r="41" spans="1:6">
      <c r="A41" s="348" t="s">
        <v>32</v>
      </c>
      <c r="B41" s="348" t="s">
        <v>33</v>
      </c>
      <c r="C41" s="334">
        <v>116</v>
      </c>
      <c r="D41" s="334">
        <v>3649401.2928267401</v>
      </c>
      <c r="E41" s="334">
        <v>233</v>
      </c>
      <c r="F41" s="334">
        <v>11832980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1162637.33411983</v>
      </c>
      <c r="E44" s="334">
        <v>33</v>
      </c>
      <c r="F44" s="334">
        <v>29999274</v>
      </c>
    </row>
    <row r="45" spans="1:6">
      <c r="A45" s="348" t="s">
        <v>32</v>
      </c>
      <c r="B45" s="348" t="s">
        <v>37</v>
      </c>
      <c r="C45" s="334">
        <v>0</v>
      </c>
      <c r="D45" s="334">
        <v>0</v>
      </c>
      <c r="E45" s="334">
        <v>3</v>
      </c>
      <c r="F45" s="334">
        <v>203786.9</v>
      </c>
    </row>
    <row r="46" spans="1:6">
      <c r="A46" s="348" t="s">
        <v>32</v>
      </c>
      <c r="B46" s="348" t="s">
        <v>38</v>
      </c>
      <c r="C46" s="334">
        <v>0</v>
      </c>
      <c r="D46" s="334">
        <v>0</v>
      </c>
      <c r="E46" s="334">
        <v>0</v>
      </c>
      <c r="F46" s="334">
        <v>0</v>
      </c>
    </row>
    <row r="47" spans="1:6">
      <c r="A47" s="348" t="s">
        <v>32</v>
      </c>
      <c r="B47" s="348" t="s">
        <v>39</v>
      </c>
      <c r="C47" s="334">
        <v>10</v>
      </c>
      <c r="D47" s="334">
        <v>608566.714935489</v>
      </c>
      <c r="E47" s="334">
        <v>14</v>
      </c>
      <c r="F47" s="334">
        <v>2063106</v>
      </c>
    </row>
    <row r="48" spans="1:6">
      <c r="A48" s="348" t="s">
        <v>32</v>
      </c>
      <c r="B48" s="348" t="s">
        <v>29</v>
      </c>
      <c r="C48" s="334">
        <v>45</v>
      </c>
      <c r="D48" s="334">
        <v>40533109.911849201</v>
      </c>
      <c r="E48" s="334">
        <v>57</v>
      </c>
      <c r="F48" s="334">
        <v>57094416</v>
      </c>
    </row>
    <row r="49" spans="1:6">
      <c r="A49" s="348" t="s">
        <v>32</v>
      </c>
      <c r="B49" s="348" t="s">
        <v>40</v>
      </c>
      <c r="C49" s="334">
        <v>0</v>
      </c>
      <c r="D49" s="334">
        <v>0</v>
      </c>
      <c r="E49" s="334">
        <v>0</v>
      </c>
      <c r="F49" s="334">
        <v>0</v>
      </c>
    </row>
    <row r="50" spans="1:6">
      <c r="A50" s="348" t="s">
        <v>32</v>
      </c>
      <c r="B50" s="348" t="s">
        <v>41</v>
      </c>
      <c r="C50" s="334">
        <v>20</v>
      </c>
      <c r="D50" s="334">
        <v>9245244.5452365205</v>
      </c>
      <c r="E50" s="334">
        <v>25</v>
      </c>
      <c r="F50" s="334">
        <v>5928976</v>
      </c>
    </row>
    <row r="51" spans="1:6">
      <c r="A51" s="348" t="s">
        <v>42</v>
      </c>
      <c r="B51" s="348" t="s">
        <v>43</v>
      </c>
      <c r="C51" s="334">
        <v>3</v>
      </c>
      <c r="D51" s="334">
        <v>29608.3508536845</v>
      </c>
      <c r="E51" s="334">
        <v>74</v>
      </c>
      <c r="F51" s="334">
        <v>2618805</v>
      </c>
    </row>
    <row r="52" spans="1:6">
      <c r="A52" s="348" t="s">
        <v>42</v>
      </c>
      <c r="B52" s="348" t="s">
        <v>29</v>
      </c>
      <c r="C52" s="334">
        <v>13</v>
      </c>
      <c r="D52" s="334">
        <v>66365927.017569102</v>
      </c>
      <c r="E52" s="334">
        <v>4</v>
      </c>
      <c r="F52" s="334">
        <v>88981.77</v>
      </c>
    </row>
    <row r="53" spans="1:6">
      <c r="A53" s="348" t="s">
        <v>44</v>
      </c>
      <c r="B53" s="348" t="s">
        <v>45</v>
      </c>
      <c r="C53" s="334">
        <v>240</v>
      </c>
      <c r="D53" s="334">
        <v>4427837.6750019696</v>
      </c>
      <c r="E53" s="334">
        <v>619</v>
      </c>
      <c r="F53" s="334">
        <v>2147389</v>
      </c>
    </row>
    <row r="54" spans="1:6">
      <c r="A54" s="348" t="s">
        <v>46</v>
      </c>
      <c r="B54" s="348" t="s">
        <v>47</v>
      </c>
      <c r="C54" s="334">
        <v>0</v>
      </c>
      <c r="D54" s="334">
        <v>0</v>
      </c>
      <c r="E54" s="334">
        <v>1</v>
      </c>
      <c r="F54" s="334">
        <v>1354280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71</v>
      </c>
      <c r="D57" s="334">
        <v>8684593.0898930002</v>
      </c>
      <c r="E57" s="334">
        <v>120</v>
      </c>
      <c r="F57" s="334">
        <v>7917929</v>
      </c>
    </row>
    <row r="58" spans="1:6">
      <c r="A58" s="348" t="s">
        <v>49</v>
      </c>
      <c r="B58" s="348" t="s">
        <v>51</v>
      </c>
      <c r="C58" s="334">
        <v>57</v>
      </c>
      <c r="D58" s="334">
        <v>3082865.8016753602</v>
      </c>
      <c r="E58" s="334">
        <v>84</v>
      </c>
      <c r="F58" s="334">
        <v>8795451</v>
      </c>
    </row>
    <row r="59" spans="1:6">
      <c r="A59" s="348" t="s">
        <v>49</v>
      </c>
      <c r="B59" s="348" t="s">
        <v>52</v>
      </c>
      <c r="C59" s="334">
        <v>253</v>
      </c>
      <c r="D59" s="334">
        <v>19260783.719896398</v>
      </c>
      <c r="E59" s="334">
        <v>462</v>
      </c>
      <c r="F59" s="334">
        <v>23531402</v>
      </c>
    </row>
    <row r="60" spans="1:6">
      <c r="A60" s="348" t="s">
        <v>49</v>
      </c>
      <c r="B60" s="348" t="s">
        <v>53</v>
      </c>
      <c r="C60" s="334">
        <v>119</v>
      </c>
      <c r="D60" s="334">
        <v>5489530.5469244001</v>
      </c>
      <c r="E60" s="334">
        <v>141</v>
      </c>
      <c r="F60" s="334">
        <v>4094108</v>
      </c>
    </row>
    <row r="61" spans="1:6">
      <c r="A61" s="348" t="s">
        <v>49</v>
      </c>
      <c r="B61" s="348" t="s">
        <v>54</v>
      </c>
      <c r="C61" s="334">
        <v>336</v>
      </c>
      <c r="D61" s="334">
        <v>13683337.2359835</v>
      </c>
      <c r="E61" s="334">
        <v>546</v>
      </c>
      <c r="F61" s="334">
        <v>13325637</v>
      </c>
    </row>
    <row r="62" spans="1:6">
      <c r="A62" s="348" t="s">
        <v>49</v>
      </c>
      <c r="B62" s="348" t="s">
        <v>55</v>
      </c>
      <c r="C62" s="334">
        <v>28</v>
      </c>
      <c r="D62" s="334">
        <v>4941789.05190273</v>
      </c>
      <c r="E62" s="334">
        <v>31</v>
      </c>
      <c r="F62" s="334">
        <v>2937734</v>
      </c>
    </row>
    <row r="63" spans="1:6">
      <c r="A63" s="348" t="s">
        <v>49</v>
      </c>
      <c r="B63" s="348" t="s">
        <v>29</v>
      </c>
      <c r="C63" s="334">
        <v>99</v>
      </c>
      <c r="D63" s="334">
        <v>11030613.045369299</v>
      </c>
      <c r="E63" s="334">
        <v>100</v>
      </c>
      <c r="F63" s="334">
        <v>10919233</v>
      </c>
    </row>
    <row r="64" spans="1:6">
      <c r="A64" s="348" t="s">
        <v>56</v>
      </c>
      <c r="B64" s="348" t="s">
        <v>57</v>
      </c>
      <c r="C64" s="334">
        <v>0</v>
      </c>
      <c r="D64" s="334">
        <v>0</v>
      </c>
      <c r="E64" s="334">
        <v>0</v>
      </c>
      <c r="F64" s="334">
        <v>0</v>
      </c>
    </row>
    <row r="65" spans="1:6">
      <c r="A65" s="348" t="s">
        <v>56</v>
      </c>
      <c r="B65" s="348" t="s">
        <v>29</v>
      </c>
      <c r="C65" s="334">
        <v>2</v>
      </c>
      <c r="D65" s="334">
        <v>141452.55676221201</v>
      </c>
      <c r="E65" s="334">
        <v>1</v>
      </c>
      <c r="F65" s="334">
        <v>7635.308</v>
      </c>
    </row>
    <row r="66" spans="1:6">
      <c r="A66" s="348" t="s">
        <v>56</v>
      </c>
      <c r="B66" s="348" t="s">
        <v>58</v>
      </c>
      <c r="C66" s="334">
        <v>0</v>
      </c>
      <c r="D66" s="334">
        <v>0</v>
      </c>
      <c r="E66" s="334">
        <v>11</v>
      </c>
      <c r="F66" s="334">
        <v>610133.30000000005</v>
      </c>
    </row>
    <row r="67" spans="1:6">
      <c r="A67" s="355" t="s">
        <v>56</v>
      </c>
      <c r="B67" s="355" t="s">
        <v>59</v>
      </c>
      <c r="C67" s="334">
        <v>0</v>
      </c>
      <c r="D67" s="334">
        <v>0</v>
      </c>
      <c r="E67" s="334">
        <v>0</v>
      </c>
      <c r="F67" s="334">
        <v>0</v>
      </c>
    </row>
    <row r="68" spans="1:6">
      <c r="A68" s="341" t="s">
        <v>56</v>
      </c>
      <c r="B68" s="341" t="s">
        <v>60</v>
      </c>
      <c r="C68" s="334">
        <v>11</v>
      </c>
      <c r="D68" s="334">
        <v>375389.17947790702</v>
      </c>
      <c r="E68" s="334">
        <v>33</v>
      </c>
      <c r="F68" s="334">
        <v>674078.6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115361416</v>
      </c>
      <c r="E73" s="477">
        <v>117996600.51896253</v>
      </c>
    </row>
    <row r="74" spans="1:6">
      <c r="A74" s="348" t="s">
        <v>64</v>
      </c>
      <c r="B74" s="348" t="s">
        <v>714</v>
      </c>
      <c r="C74" s="1229" t="s">
        <v>716</v>
      </c>
      <c r="D74" s="477">
        <v>7775291.6498171575</v>
      </c>
      <c r="E74" s="477">
        <v>7894413.4702297682</v>
      </c>
    </row>
    <row r="75" spans="1:6">
      <c r="A75" s="348" t="s">
        <v>65</v>
      </c>
      <c r="B75" s="348" t="s">
        <v>713</v>
      </c>
      <c r="C75" s="1229" t="s">
        <v>717</v>
      </c>
      <c r="D75" s="477">
        <v>31404093</v>
      </c>
      <c r="E75" s="477">
        <v>32180101.751689337</v>
      </c>
    </row>
    <row r="76" spans="1:6">
      <c r="A76" s="348" t="s">
        <v>65</v>
      </c>
      <c r="B76" s="348" t="s">
        <v>714</v>
      </c>
      <c r="C76" s="1229" t="s">
        <v>718</v>
      </c>
      <c r="D76" s="477">
        <v>1478050.6498171578</v>
      </c>
      <c r="E76" s="477">
        <v>1514764.1707825686</v>
      </c>
    </row>
    <row r="77" spans="1:6">
      <c r="A77" s="348" t="s">
        <v>66</v>
      </c>
      <c r="B77" s="348" t="s">
        <v>713</v>
      </c>
      <c r="C77" s="1229" t="s">
        <v>719</v>
      </c>
      <c r="D77" s="477">
        <v>85355775</v>
      </c>
      <c r="E77" s="477">
        <v>91859423.202845797</v>
      </c>
    </row>
    <row r="78" spans="1:6">
      <c r="A78" s="341" t="s">
        <v>66</v>
      </c>
      <c r="B78" s="341" t="s">
        <v>714</v>
      </c>
      <c r="C78" s="341" t="s">
        <v>720</v>
      </c>
      <c r="D78" s="1225">
        <v>14631154</v>
      </c>
      <c r="E78" s="1225">
        <v>15804948.696965352</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644410.70036568446</v>
      </c>
      <c r="C83" s="477">
        <v>637109.47332504392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4248.7983456478441</v>
      </c>
    </row>
    <row r="92" spans="1:6">
      <c r="A92" s="341" t="s">
        <v>69</v>
      </c>
      <c r="B92" s="342">
        <v>6040.6869412896258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6292</v>
      </c>
    </row>
    <row r="98" spans="1:6">
      <c r="A98" s="348" t="s">
        <v>72</v>
      </c>
      <c r="B98" s="334">
        <v>7</v>
      </c>
    </row>
    <row r="99" spans="1:6">
      <c r="A99" s="348" t="s">
        <v>73</v>
      </c>
      <c r="B99" s="334">
        <v>107</v>
      </c>
    </row>
    <row r="100" spans="1:6">
      <c r="A100" s="348" t="s">
        <v>74</v>
      </c>
      <c r="B100" s="334">
        <v>383</v>
      </c>
    </row>
    <row r="101" spans="1:6">
      <c r="A101" s="348" t="s">
        <v>75</v>
      </c>
      <c r="B101" s="334">
        <v>115</v>
      </c>
    </row>
    <row r="102" spans="1:6">
      <c r="A102" s="348" t="s">
        <v>76</v>
      </c>
      <c r="B102" s="334">
        <v>106</v>
      </c>
    </row>
    <row r="103" spans="1:6">
      <c r="A103" s="348" t="s">
        <v>77</v>
      </c>
      <c r="B103" s="334">
        <v>207</v>
      </c>
    </row>
    <row r="104" spans="1:6">
      <c r="A104" s="348" t="s">
        <v>78</v>
      </c>
      <c r="B104" s="334">
        <v>2932</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2</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33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200</v>
      </c>
    </row>
    <row r="130" spans="1:6">
      <c r="A130" s="348" t="s">
        <v>295</v>
      </c>
      <c r="B130" s="334">
        <v>1</v>
      </c>
    </row>
    <row r="131" spans="1:6">
      <c r="A131" s="348" t="s">
        <v>296</v>
      </c>
      <c r="B131" s="334">
        <v>10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228971.39105494125</v>
      </c>
      <c r="C3" s="43" t="s">
        <v>170</v>
      </c>
      <c r="D3" s="43"/>
      <c r="E3" s="154"/>
      <c r="F3" s="43"/>
      <c r="G3" s="43"/>
      <c r="H3" s="43"/>
      <c r="I3" s="43"/>
      <c r="J3" s="43"/>
      <c r="K3" s="96"/>
    </row>
    <row r="4" spans="1:11">
      <c r="A4" s="384" t="s">
        <v>171</v>
      </c>
      <c r="B4" s="49">
        <f>IF(ISERROR('SEAP template'!B69),0,'SEAP template'!B69)</f>
        <v>34503.985286937474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5540.6223529411773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0.21189511407575035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7915.1747899159682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33306.428571428572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1354.28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1354.28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0.21189511407575035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286.96531509050715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40454.68</v>
      </c>
      <c r="C5" s="17">
        <f>IF(ISERROR('Eigen informatie GS &amp; warmtenet'!B57),0,'Eigen informatie GS &amp; warmtenet'!B57)</f>
        <v>0</v>
      </c>
      <c r="D5" s="30">
        <f>(SUM(HH_hh_gas_kWh,HH_rest_gas_kWh)/1000)*0.902</f>
        <v>122155.06697503099</v>
      </c>
      <c r="E5" s="17">
        <f>B46*B57</f>
        <v>6280.418798733941</v>
      </c>
      <c r="F5" s="17">
        <f>B51*B62</f>
        <v>0</v>
      </c>
      <c r="G5" s="18"/>
      <c r="H5" s="17"/>
      <c r="I5" s="17"/>
      <c r="J5" s="17">
        <f>B50*B61+C50*C61</f>
        <v>0</v>
      </c>
      <c r="K5" s="17"/>
      <c r="L5" s="17"/>
      <c r="M5" s="17"/>
      <c r="N5" s="17">
        <f>B48*B59+C48*C59</f>
        <v>25597.694647938504</v>
      </c>
      <c r="O5" s="17">
        <f>B69*B70*B71</f>
        <v>364.25666666666666</v>
      </c>
      <c r="P5" s="17">
        <f>B77*B78*B79/1000-B77*B78*B79/1000/B80</f>
        <v>743.6</v>
      </c>
    </row>
    <row r="6" spans="1:16">
      <c r="A6" s="16" t="s">
        <v>631</v>
      </c>
      <c r="B6" s="844">
        <f>kWh_PV_kleiner_dan_10kW</f>
        <v>4248.7983456478441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44703.478345647847</v>
      </c>
      <c r="C8" s="21">
        <f>C5</f>
        <v>0</v>
      </c>
      <c r="D8" s="21">
        <f>D5</f>
        <v>122155.06697503099</v>
      </c>
      <c r="E8" s="21">
        <f>E5</f>
        <v>6280.418798733941</v>
      </c>
      <c r="F8" s="21">
        <f>F5</f>
        <v>0</v>
      </c>
      <c r="G8" s="21"/>
      <c r="H8" s="21"/>
      <c r="I8" s="21"/>
      <c r="J8" s="21">
        <f>J5</f>
        <v>0</v>
      </c>
      <c r="K8" s="21"/>
      <c r="L8" s="21">
        <f>L5</f>
        <v>0</v>
      </c>
      <c r="M8" s="21">
        <f>M5</f>
        <v>0</v>
      </c>
      <c r="N8" s="21">
        <f>N5</f>
        <v>25597.694647938504</v>
      </c>
      <c r="O8" s="21">
        <f>O5</f>
        <v>364.25666666666666</v>
      </c>
      <c r="P8" s="21">
        <f>P5</f>
        <v>743.6</v>
      </c>
    </row>
    <row r="9" spans="1:16">
      <c r="B9" s="19"/>
      <c r="C9" s="19"/>
      <c r="D9" s="258"/>
      <c r="E9" s="19"/>
      <c r="F9" s="19"/>
      <c r="G9" s="19"/>
      <c r="H9" s="19"/>
      <c r="I9" s="19"/>
      <c r="J9" s="19"/>
      <c r="K9" s="19"/>
      <c r="L9" s="19"/>
      <c r="M9" s="19"/>
      <c r="N9" s="19"/>
      <c r="O9" s="19"/>
      <c r="P9" s="19"/>
    </row>
    <row r="10" spans="1:16">
      <c r="A10" s="24" t="s">
        <v>214</v>
      </c>
      <c r="B10" s="25">
        <f ca="1">'EF ele_warmte'!B12</f>
        <v>0.21189511407575035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9472.4486436338866</v>
      </c>
      <c r="C12" s="23">
        <f ca="1">C10*C8</f>
        <v>0</v>
      </c>
      <c r="D12" s="23">
        <f>D8*D10</f>
        <v>24675.323528956262</v>
      </c>
      <c r="E12" s="23">
        <f>E10*E8</f>
        <v>1425.6550673126046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6292</v>
      </c>
      <c r="C18" s="166" t="s">
        <v>111</v>
      </c>
      <c r="D18" s="228"/>
      <c r="E18" s="15"/>
    </row>
    <row r="19" spans="1:7">
      <c r="A19" s="171" t="s">
        <v>72</v>
      </c>
      <c r="B19" s="37">
        <f>aantalw2001_ander</f>
        <v>7</v>
      </c>
      <c r="C19" s="166" t="s">
        <v>111</v>
      </c>
      <c r="D19" s="229"/>
      <c r="E19" s="15"/>
    </row>
    <row r="20" spans="1:7">
      <c r="A20" s="171" t="s">
        <v>73</v>
      </c>
      <c r="B20" s="37">
        <f>aantalw2001_propaan</f>
        <v>107</v>
      </c>
      <c r="C20" s="167">
        <f>IF(ISERROR(B20/SUM($B$20,$B$21,$B$22)*100),0,B20/SUM($B$20,$B$21,$B$22)*100)</f>
        <v>17.685950413223139</v>
      </c>
      <c r="D20" s="229"/>
      <c r="E20" s="15"/>
    </row>
    <row r="21" spans="1:7">
      <c r="A21" s="171" t="s">
        <v>74</v>
      </c>
      <c r="B21" s="37">
        <f>aantalw2001_elektriciteit</f>
        <v>383</v>
      </c>
      <c r="C21" s="167">
        <f>IF(ISERROR(B21/SUM($B$20,$B$21,$B$22)*100),0,B21/SUM($B$20,$B$21,$B$22)*100)</f>
        <v>63.305785123966942</v>
      </c>
      <c r="D21" s="229"/>
      <c r="E21" s="15"/>
    </row>
    <row r="22" spans="1:7">
      <c r="A22" s="171" t="s">
        <v>75</v>
      </c>
      <c r="B22" s="37">
        <f>aantalw2001_hout</f>
        <v>115</v>
      </c>
      <c r="C22" s="167">
        <f>IF(ISERROR(B22/SUM($B$20,$B$21,$B$22)*100),0,B22/SUM($B$20,$B$21,$B$22)*100)</f>
        <v>19.008264462809919</v>
      </c>
      <c r="D22" s="229"/>
      <c r="E22" s="15"/>
    </row>
    <row r="23" spans="1:7">
      <c r="A23" s="171" t="s">
        <v>76</v>
      </c>
      <c r="B23" s="37">
        <f>aantalw2001_niet_gespec</f>
        <v>106</v>
      </c>
      <c r="C23" s="166" t="s">
        <v>111</v>
      </c>
      <c r="D23" s="228"/>
      <c r="E23" s="15"/>
    </row>
    <row r="24" spans="1:7">
      <c r="A24" s="171" t="s">
        <v>77</v>
      </c>
      <c r="B24" s="37">
        <f>aantalw2001_steenkool</f>
        <v>207</v>
      </c>
      <c r="C24" s="166" t="s">
        <v>111</v>
      </c>
      <c r="D24" s="229"/>
      <c r="E24" s="15"/>
    </row>
    <row r="25" spans="1:7">
      <c r="A25" s="171" t="s">
        <v>78</v>
      </c>
      <c r="B25" s="37">
        <f>aantalw2001_stookolie</f>
        <v>2932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12103</v>
      </c>
      <c r="C28" s="36"/>
      <c r="D28" s="228"/>
    </row>
    <row r="29" spans="1:7" s="15" customFormat="1">
      <c r="A29" s="230" t="s">
        <v>741</v>
      </c>
      <c r="B29" s="37">
        <f>SUM(HH_hh_gas_aantal,HH_rest_gas_aantal)</f>
        <v>9684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9684</v>
      </c>
      <c r="C32" s="167">
        <f>IF(ISERROR(B32/SUM($B$32,$B$34,$B$35,$B$36,$B$38,$B$39)*100),0,B32/SUM($B$32,$B$34,$B$35,$B$36,$B$38,$B$39)*100)</f>
        <v>80.271883289124673</v>
      </c>
      <c r="D32" s="233"/>
      <c r="G32" s="15"/>
    </row>
    <row r="33" spans="1:7">
      <c r="A33" s="171" t="s">
        <v>72</v>
      </c>
      <c r="B33" s="34" t="s">
        <v>111</v>
      </c>
      <c r="C33" s="167"/>
      <c r="D33" s="233"/>
      <c r="G33" s="15"/>
    </row>
    <row r="34" spans="1:7">
      <c r="A34" s="171" t="s">
        <v>73</v>
      </c>
      <c r="B34" s="33">
        <f>IF((($B$28-$B$32-$B$39-$B$77-$B$38)*C20/100)&lt;0,0,($B$28-$B$32-$B$39-$B$77-$B$38)*C20/100)</f>
        <v>420.92561983471074</v>
      </c>
      <c r="C34" s="167">
        <f>IF(ISERROR(B34/SUM($B$32,$B$34,$B$35,$B$36,$B$38,$B$39)*100),0,B34/SUM($B$32,$B$34,$B$35,$B$36,$B$38,$B$39)*100)</f>
        <v>3.489104938948199</v>
      </c>
      <c r="D34" s="233"/>
      <c r="G34" s="15"/>
    </row>
    <row r="35" spans="1:7">
      <c r="A35" s="171" t="s">
        <v>74</v>
      </c>
      <c r="B35" s="33">
        <f>IF((($B$28-$B$32-$B$39-$B$77-$B$38)*C21/100)&lt;0,0,($B$28-$B$32-$B$39-$B$77-$B$38)*C21/100)</f>
        <v>1506.6776859504132</v>
      </c>
      <c r="C35" s="167">
        <f>IF(ISERROR(B35/SUM($B$32,$B$34,$B$35,$B$36,$B$38,$B$39)*100),0,B35/SUM($B$32,$B$34,$B$35,$B$36,$B$38,$B$39)*100)</f>
        <v>12.489039173992152</v>
      </c>
      <c r="D35" s="233"/>
      <c r="G35" s="15"/>
    </row>
    <row r="36" spans="1:7">
      <c r="A36" s="171" t="s">
        <v>75</v>
      </c>
      <c r="B36" s="33">
        <f>IF((($B$28-$B$32-$B$39-$B$77-$B$38)*C22/100)&lt;0,0,($B$28-$B$32-$B$39-$B$77-$B$38)*C22/100)</f>
        <v>452.39669421487605</v>
      </c>
      <c r="C36" s="167">
        <f>IF(ISERROR(B36/SUM($B$32,$B$34,$B$35,$B$36,$B$38,$B$39)*100),0,B36/SUM($B$32,$B$34,$B$35,$B$36,$B$38,$B$39)*100)</f>
        <v>3.7499725979349807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9684</v>
      </c>
      <c r="C44" s="34" t="s">
        <v>111</v>
      </c>
      <c r="D44" s="174"/>
    </row>
    <row r="45" spans="1:7">
      <c r="A45" s="171" t="s">
        <v>72</v>
      </c>
      <c r="B45" s="33" t="str">
        <f t="shared" si="0"/>
        <v>-</v>
      </c>
      <c r="C45" s="34" t="s">
        <v>111</v>
      </c>
      <c r="D45" s="174"/>
    </row>
    <row r="46" spans="1:7">
      <c r="A46" s="171" t="s">
        <v>73</v>
      </c>
      <c r="B46" s="33">
        <f t="shared" si="0"/>
        <v>420.92561983471074</v>
      </c>
      <c r="C46" s="34" t="s">
        <v>111</v>
      </c>
      <c r="D46" s="174"/>
    </row>
    <row r="47" spans="1:7">
      <c r="A47" s="171" t="s">
        <v>74</v>
      </c>
      <c r="B47" s="33">
        <f t="shared" si="0"/>
        <v>1506.6776859504132</v>
      </c>
      <c r="C47" s="34" t="s">
        <v>111</v>
      </c>
      <c r="D47" s="174"/>
    </row>
    <row r="48" spans="1:7">
      <c r="A48" s="171" t="s">
        <v>75</v>
      </c>
      <c r="B48" s="33">
        <f t="shared" si="0"/>
        <v>452.39669421487605</v>
      </c>
      <c r="C48" s="33">
        <f>B48*10</f>
        <v>4523.9669421487606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71521.494000000006</v>
      </c>
      <c r="C5" s="17">
        <f>IF(ISERROR('Eigen informatie GS &amp; warmtenet'!B58),0,'Eigen informatie GS &amp; warmtenet'!B58)</f>
        <v>0</v>
      </c>
      <c r="D5" s="30">
        <f>SUM(D6:D12)</f>
        <v>59688.508267463505</v>
      </c>
      <c r="E5" s="17">
        <f>SUM(E6:E12)</f>
        <v>598.10248146590868</v>
      </c>
      <c r="F5" s="17">
        <f>SUM(F6:F12)</f>
        <v>10650.559914093292</v>
      </c>
      <c r="G5" s="18"/>
      <c r="H5" s="17"/>
      <c r="I5" s="17"/>
      <c r="J5" s="17">
        <f>SUM(J6:J12)</f>
        <v>0</v>
      </c>
      <c r="K5" s="17"/>
      <c r="L5" s="17"/>
      <c r="M5" s="17"/>
      <c r="N5" s="17">
        <f>SUM(N6:N12)</f>
        <v>6907.9913832923385</v>
      </c>
      <c r="O5" s="17">
        <f>B38*B39*B40</f>
        <v>1.5633333333333335</v>
      </c>
      <c r="P5" s="17">
        <f>B46*B47*B48/1000-B46*B47*B48/1000/B49</f>
        <v>190.66666666666669</v>
      </c>
      <c r="R5" s="32"/>
    </row>
    <row r="6" spans="1:18">
      <c r="A6" s="32" t="s">
        <v>54</v>
      </c>
      <c r="B6" s="37">
        <f>B26</f>
        <v>13325.637000000001</v>
      </c>
      <c r="C6" s="33"/>
      <c r="D6" s="37">
        <f>IF(ISERROR(TER_kantoor_gas_kWh/1000),0,TER_kantoor_gas_kWh/1000)*0.902</f>
        <v>12342.370186857119</v>
      </c>
      <c r="E6" s="33">
        <f>$C$26*'E Balans VL '!I12/100/3.6*1000000</f>
        <v>38.60632553717344</v>
      </c>
      <c r="F6" s="33">
        <f>$C$26*('E Balans VL '!L12+'E Balans VL '!N12)/100/3.6*1000000</f>
        <v>1508.1685218544364</v>
      </c>
      <c r="G6" s="34"/>
      <c r="H6" s="33"/>
      <c r="I6" s="33"/>
      <c r="J6" s="33">
        <f>$C$26*('E Balans VL '!D12+'E Balans VL '!E12)/100/3.6*1000000</f>
        <v>0</v>
      </c>
      <c r="K6" s="33"/>
      <c r="L6" s="33"/>
      <c r="M6" s="33"/>
      <c r="N6" s="33">
        <f>$C$26*'E Balans VL '!Y12/100/3.6*1000000</f>
        <v>133.37980760226253</v>
      </c>
      <c r="O6" s="33"/>
      <c r="P6" s="33"/>
      <c r="R6" s="32"/>
    </row>
    <row r="7" spans="1:18">
      <c r="A7" s="32" t="s">
        <v>53</v>
      </c>
      <c r="B7" s="37">
        <f t="shared" ref="B7:B12" si="0">B27</f>
        <v>4094.1080000000002</v>
      </c>
      <c r="C7" s="33"/>
      <c r="D7" s="37">
        <f>IF(ISERROR(TER_horeca_gas_kWh/1000),0,TER_horeca_gas_kWh/1000)*0.902</f>
        <v>4951.5565533258095</v>
      </c>
      <c r="E7" s="33">
        <f>$C$27*'E Balans VL '!I9/100/3.6*1000000</f>
        <v>171.85921512832076</v>
      </c>
      <c r="F7" s="33">
        <f>$C$27*('E Balans VL '!L9+'E Balans VL '!N9)/100/3.6*1000000</f>
        <v>879.70306139191325</v>
      </c>
      <c r="G7" s="34"/>
      <c r="H7" s="33"/>
      <c r="I7" s="33"/>
      <c r="J7" s="33">
        <f>$C$27*('E Balans VL '!D9+'E Balans VL '!E9)/100/3.6*1000000</f>
        <v>0</v>
      </c>
      <c r="K7" s="33"/>
      <c r="L7" s="33"/>
      <c r="M7" s="33"/>
      <c r="N7" s="33">
        <f>$C$27*'E Balans VL '!Y9/100/3.6*1000000</f>
        <v>1.055015827326657</v>
      </c>
      <c r="O7" s="33"/>
      <c r="P7" s="33"/>
      <c r="R7" s="32"/>
    </row>
    <row r="8" spans="1:18">
      <c r="A8" s="6" t="s">
        <v>52</v>
      </c>
      <c r="B8" s="37">
        <f t="shared" si="0"/>
        <v>23531.401999999998</v>
      </c>
      <c r="C8" s="33"/>
      <c r="D8" s="37">
        <f>IF(ISERROR(TER_handel_gas_kWh/1000),0,TER_handel_gas_kWh/1000)*0.902</f>
        <v>17373.22691534655</v>
      </c>
      <c r="E8" s="33">
        <f>$C$28*'E Balans VL '!I13/100/3.6*1000000</f>
        <v>252.74684210916038</v>
      </c>
      <c r="F8" s="33">
        <f>$C$28*('E Balans VL '!L13+'E Balans VL '!N13)/100/3.6*1000000</f>
        <v>3046.3343072118837</v>
      </c>
      <c r="G8" s="34"/>
      <c r="H8" s="33"/>
      <c r="I8" s="33"/>
      <c r="J8" s="33">
        <f>$C$28*('E Balans VL '!D13+'E Balans VL '!E13)/100/3.6*1000000</f>
        <v>0</v>
      </c>
      <c r="K8" s="33"/>
      <c r="L8" s="33"/>
      <c r="M8" s="33"/>
      <c r="N8" s="33">
        <f>$C$28*'E Balans VL '!Y13/100/3.6*1000000</f>
        <v>190.88801789441479</v>
      </c>
      <c r="O8" s="33"/>
      <c r="P8" s="33"/>
      <c r="R8" s="32"/>
    </row>
    <row r="9" spans="1:18">
      <c r="A9" s="32" t="s">
        <v>51</v>
      </c>
      <c r="B9" s="37">
        <f t="shared" si="0"/>
        <v>8795.4509999999991</v>
      </c>
      <c r="C9" s="33"/>
      <c r="D9" s="37">
        <f>IF(ISERROR(TER_gezond_gas_kWh/1000),0,TER_gezond_gas_kWh/1000)*0.902</f>
        <v>2780.7449531111752</v>
      </c>
      <c r="E9" s="33">
        <f>$C$29*'E Balans VL '!I10/100/3.6*1000000</f>
        <v>7.0017478705300809</v>
      </c>
      <c r="F9" s="33">
        <f>$C$29*('E Balans VL '!L10+'E Balans VL '!N10)/100/3.6*1000000</f>
        <v>1069.2141747654132</v>
      </c>
      <c r="G9" s="34"/>
      <c r="H9" s="33"/>
      <c r="I9" s="33"/>
      <c r="J9" s="33">
        <f>$C$29*('E Balans VL '!D10+'E Balans VL '!E10)/100/3.6*1000000</f>
        <v>0</v>
      </c>
      <c r="K9" s="33"/>
      <c r="L9" s="33"/>
      <c r="M9" s="33"/>
      <c r="N9" s="33">
        <f>$C$29*'E Balans VL '!Y10/100/3.6*1000000</f>
        <v>71.047322976360434</v>
      </c>
      <c r="O9" s="33"/>
      <c r="P9" s="33"/>
      <c r="R9" s="32"/>
    </row>
    <row r="10" spans="1:18">
      <c r="A10" s="32" t="s">
        <v>50</v>
      </c>
      <c r="B10" s="37">
        <f t="shared" si="0"/>
        <v>7917.9290000000001</v>
      </c>
      <c r="C10" s="33"/>
      <c r="D10" s="37">
        <f>IF(ISERROR(TER_ander_gas_kWh/1000),0,TER_ander_gas_kWh/1000)*0.902</f>
        <v>7833.5029670834865</v>
      </c>
      <c r="E10" s="33">
        <f>$C$30*'E Balans VL '!I14/100/3.6*1000000</f>
        <v>27.135158637670113</v>
      </c>
      <c r="F10" s="33">
        <f>$C$30*('E Balans VL '!L14+'E Balans VL '!N14)/100/3.6*1000000</f>
        <v>1768.5435918660799</v>
      </c>
      <c r="G10" s="34"/>
      <c r="H10" s="33"/>
      <c r="I10" s="33"/>
      <c r="J10" s="33">
        <f>$C$30*('E Balans VL '!D14+'E Balans VL '!E14)/100/3.6*1000000</f>
        <v>0</v>
      </c>
      <c r="K10" s="33"/>
      <c r="L10" s="33"/>
      <c r="M10" s="33"/>
      <c r="N10" s="33">
        <f>$C$30*'E Balans VL '!Y14/100/3.6*1000000</f>
        <v>5577.4324424006136</v>
      </c>
      <c r="O10" s="33"/>
      <c r="P10" s="33"/>
      <c r="R10" s="32"/>
    </row>
    <row r="11" spans="1:18">
      <c r="A11" s="32" t="s">
        <v>55</v>
      </c>
      <c r="B11" s="37">
        <f t="shared" si="0"/>
        <v>2937.7339999999999</v>
      </c>
      <c r="C11" s="33"/>
      <c r="D11" s="37">
        <f>IF(ISERROR(TER_onderwijs_gas_kWh/1000),0,TER_onderwijs_gas_kWh/1000)*0.902</f>
        <v>4457.4937248162623</v>
      </c>
      <c r="E11" s="33">
        <f>$C$31*'E Balans VL '!I11/100/3.6*1000000</f>
        <v>2.0307650391133016</v>
      </c>
      <c r="F11" s="33">
        <f>$C$31*('E Balans VL '!L11+'E Balans VL '!N11)/100/3.6*1000000</f>
        <v>769.01342581744473</v>
      </c>
      <c r="G11" s="34"/>
      <c r="H11" s="33"/>
      <c r="I11" s="33"/>
      <c r="J11" s="33">
        <f>$C$31*('E Balans VL '!D11+'E Balans VL '!E11)/100/3.6*1000000</f>
        <v>0</v>
      </c>
      <c r="K11" s="33"/>
      <c r="L11" s="33"/>
      <c r="M11" s="33"/>
      <c r="N11" s="33">
        <f>$C$31*'E Balans VL '!Y11/100/3.6*1000000</f>
        <v>2.9242639803368466</v>
      </c>
      <c r="O11" s="33"/>
      <c r="P11" s="33"/>
      <c r="R11" s="32"/>
    </row>
    <row r="12" spans="1:18">
      <c r="A12" s="32" t="s">
        <v>260</v>
      </c>
      <c r="B12" s="37">
        <f t="shared" si="0"/>
        <v>10919.233</v>
      </c>
      <c r="C12" s="33"/>
      <c r="D12" s="37">
        <f>IF(ISERROR(TER_rest_gas_kWh/1000),0,TER_rest_gas_kWh/1000)*0.902</f>
        <v>9949.6129669231068</v>
      </c>
      <c r="E12" s="33">
        <f>$C$32*'E Balans VL '!I8/100/3.6*1000000</f>
        <v>98.722427143940649</v>
      </c>
      <c r="F12" s="33">
        <f>$C$32*('E Balans VL '!L8+'E Balans VL '!N8)/100/3.6*1000000</f>
        <v>1609.5828311861203</v>
      </c>
      <c r="G12" s="34"/>
      <c r="H12" s="33"/>
      <c r="I12" s="33"/>
      <c r="J12" s="33">
        <f>$C$32*('E Balans VL '!D8+'E Balans VL '!E8)/100/3.6*1000000</f>
        <v>0</v>
      </c>
      <c r="K12" s="33"/>
      <c r="L12" s="33"/>
      <c r="M12" s="33"/>
      <c r="N12" s="33">
        <f>$C$32*'E Balans VL '!Y8/100/3.6*1000000</f>
        <v>931.26451261102386</v>
      </c>
      <c r="O12" s="33"/>
      <c r="P12" s="33"/>
      <c r="R12" s="32"/>
    </row>
    <row r="13" spans="1:18">
      <c r="A13" s="16" t="s">
        <v>494</v>
      </c>
      <c r="B13" s="247">
        <f ca="1">'lokale energieproductie'!N90+'lokale energieproductie'!N59</f>
        <v>900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-2571.4285714285716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72421.494000000006</v>
      </c>
      <c r="C16" s="21">
        <f t="shared" ca="1" si="1"/>
        <v>0</v>
      </c>
      <c r="D16" s="21">
        <f t="shared" ca="1" si="1"/>
        <v>59688.508267463505</v>
      </c>
      <c r="E16" s="21">
        <f t="shared" si="1"/>
        <v>598.10248146590868</v>
      </c>
      <c r="F16" s="21">
        <f t="shared" ca="1" si="1"/>
        <v>10650.559914093292</v>
      </c>
      <c r="G16" s="21">
        <f t="shared" si="1"/>
        <v>0</v>
      </c>
      <c r="H16" s="21">
        <f t="shared" si="1"/>
        <v>0</v>
      </c>
      <c r="I16" s="21">
        <f t="shared" si="1"/>
        <v>0</v>
      </c>
      <c r="J16" s="21">
        <f t="shared" si="1"/>
        <v>0</v>
      </c>
      <c r="K16" s="21">
        <f t="shared" si="1"/>
        <v>0</v>
      </c>
      <c r="L16" s="21">
        <f t="shared" ca="1" si="1"/>
        <v>0</v>
      </c>
      <c r="M16" s="21">
        <f t="shared" si="1"/>
        <v>0</v>
      </c>
      <c r="N16" s="21">
        <f t="shared" ca="1" si="1"/>
        <v>4336.5628118637669</v>
      </c>
      <c r="O16" s="21">
        <f>O5</f>
        <v>1.5633333333333335</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0.21189511407575035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15345.760732666271</v>
      </c>
      <c r="C20" s="23">
        <f t="shared" ref="C20:P20" ca="1" si="2">C16*C18</f>
        <v>0</v>
      </c>
      <c r="D20" s="23">
        <f t="shared" ca="1" si="2"/>
        <v>12057.078670027629</v>
      </c>
      <c r="E20" s="23">
        <f t="shared" si="2"/>
        <v>135.76926329276128</v>
      </c>
      <c r="F20" s="23">
        <f t="shared" ca="1" si="2"/>
        <v>2843.6994970629089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13325.637000000001</v>
      </c>
      <c r="C26" s="39">
        <f>IF(ISERROR(B26*3.6/1000000/'E Balans VL '!Z12*100),0,B26*3.6/1000000/'E Balans VL '!Z12*100)</f>
        <v>0.29271302268408428</v>
      </c>
      <c r="D26" s="237" t="s">
        <v>692</v>
      </c>
      <c r="F26" s="6"/>
    </row>
    <row r="27" spans="1:18">
      <c r="A27" s="231" t="s">
        <v>53</v>
      </c>
      <c r="B27" s="33">
        <f>IF(ISERROR(TER_horeca_ele_kWh/1000),0,TER_horeca_ele_kWh/1000)</f>
        <v>4094.1080000000002</v>
      </c>
      <c r="C27" s="39">
        <f>IF(ISERROR(B27*3.6/1000000/'E Balans VL '!Z9*100),0,B27*3.6/1000000/'E Balans VL '!Z9*100)</f>
        <v>0.32900238835056062</v>
      </c>
      <c r="D27" s="237" t="s">
        <v>692</v>
      </c>
      <c r="F27" s="6"/>
    </row>
    <row r="28" spans="1:18">
      <c r="A28" s="171" t="s">
        <v>52</v>
      </c>
      <c r="B28" s="33">
        <f>IF(ISERROR(TER_handel_ele_kWh/1000),0,TER_handel_ele_kWh/1000)</f>
        <v>23531.401999999998</v>
      </c>
      <c r="C28" s="39">
        <f>IF(ISERROR(B28*3.6/1000000/'E Balans VL '!Z13*100),0,B28*3.6/1000000/'E Balans VL '!Z13*100)</f>
        <v>0.69580711775739212</v>
      </c>
      <c r="D28" s="237" t="s">
        <v>692</v>
      </c>
      <c r="F28" s="6"/>
    </row>
    <row r="29" spans="1:18">
      <c r="A29" s="231" t="s">
        <v>51</v>
      </c>
      <c r="B29" s="33">
        <f>IF(ISERROR(TER_gezond_ele_kWh/1000),0,TER_gezond_ele_kWh/1000)</f>
        <v>8795.4509999999991</v>
      </c>
      <c r="C29" s="39">
        <f>IF(ISERROR(B29*3.6/1000000/'E Balans VL '!Z10*100),0,B29*3.6/1000000/'E Balans VL '!Z10*100)</f>
        <v>0.99102024917220277</v>
      </c>
      <c r="D29" s="237" t="s">
        <v>692</v>
      </c>
      <c r="F29" s="6"/>
    </row>
    <row r="30" spans="1:18">
      <c r="A30" s="231" t="s">
        <v>50</v>
      </c>
      <c r="B30" s="33">
        <f>IF(ISERROR(TER_ander_ele_kWh/1000),0,TER_ander_ele_kWh/1000)</f>
        <v>7917.9290000000001</v>
      </c>
      <c r="C30" s="39">
        <f>IF(ISERROR(B30*3.6/1000000/'E Balans VL '!Z14*100),0,B30*3.6/1000000/'E Balans VL '!Z14*100)</f>
        <v>0.59881943518175529</v>
      </c>
      <c r="D30" s="237" t="s">
        <v>692</v>
      </c>
      <c r="F30" s="6"/>
    </row>
    <row r="31" spans="1:18">
      <c r="A31" s="231" t="s">
        <v>55</v>
      </c>
      <c r="B31" s="33">
        <f>IF(ISERROR(TER_onderwijs_ele_kWh/1000),0,TER_onderwijs_ele_kWh/1000)</f>
        <v>2937.7339999999999</v>
      </c>
      <c r="C31" s="39">
        <f>IF(ISERROR(B31*3.6/1000000/'E Balans VL '!Z11*100),0,B31*3.6/1000000/'E Balans VL '!Z11*100)</f>
        <v>0.60980538183289756</v>
      </c>
      <c r="D31" s="237" t="s">
        <v>692</v>
      </c>
    </row>
    <row r="32" spans="1:18">
      <c r="A32" s="231" t="s">
        <v>260</v>
      </c>
      <c r="B32" s="33">
        <f>IF(ISERROR(TER_rest_ele_kWh/1000),0,TER_rest_ele_kWh/1000)</f>
        <v>10919.233</v>
      </c>
      <c r="C32" s="39">
        <f>IF(ISERROR(B32*3.6/1000000/'E Balans VL '!Z8*100),0,B32*3.6/1000000/'E Balans VL '!Z8*100)</f>
        <v>9.1988114457757925E-2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107122.5389</v>
      </c>
      <c r="C5" s="17">
        <f>IF(ISERROR('Eigen informatie GS &amp; warmtenet'!B59),0,'Eigen informatie GS &amp; warmtenet'!B59)</f>
        <v>0</v>
      </c>
      <c r="D5" s="30">
        <f>SUM(D6:D15)</f>
        <v>49789.461738668942</v>
      </c>
      <c r="E5" s="17">
        <f>SUM(E6:E15)</f>
        <v>6974.2641822805317</v>
      </c>
      <c r="F5" s="17">
        <f>SUM(F6:F15)</f>
        <v>42989.417473599395</v>
      </c>
      <c r="G5" s="18"/>
      <c r="H5" s="17"/>
      <c r="I5" s="17"/>
      <c r="J5" s="17">
        <f>SUM(J6:J15)</f>
        <v>381.73190299197989</v>
      </c>
      <c r="K5" s="17"/>
      <c r="L5" s="17"/>
      <c r="M5" s="17"/>
      <c r="N5" s="17">
        <f>SUM(N6:N15)</f>
        <v>19307.823397868287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29999.274000000001</v>
      </c>
      <c r="C8" s="33"/>
      <c r="D8" s="37">
        <f>IF( ISERROR(IND_metaal_Gas_kWH/1000),0,IND_metaal_Gas_kWH/1000)*0.902</f>
        <v>1048.6988753760868</v>
      </c>
      <c r="E8" s="33">
        <f>C30*'E Balans VL '!I18/100/3.6*1000000</f>
        <v>750.77683301037564</v>
      </c>
      <c r="F8" s="33">
        <f>C30*'E Balans VL '!L18/100/3.6*1000000+C30*'E Balans VL '!N18/100/3.6*1000000</f>
        <v>9401.9216956631681</v>
      </c>
      <c r="G8" s="34"/>
      <c r="H8" s="33"/>
      <c r="I8" s="33"/>
      <c r="J8" s="40">
        <f>C30*'E Balans VL '!D18/100/3.6*1000000+C30*'E Balans VL '!E18/100/3.6*1000000</f>
        <v>0</v>
      </c>
      <c r="K8" s="33"/>
      <c r="L8" s="33"/>
      <c r="M8" s="33"/>
      <c r="N8" s="33">
        <f>C30*'E Balans VL '!Y18/100/3.6*1000000</f>
        <v>753.65961778503015</v>
      </c>
      <c r="O8" s="33"/>
      <c r="P8" s="33"/>
      <c r="R8" s="32"/>
    </row>
    <row r="9" spans="1:18">
      <c r="A9" s="6" t="s">
        <v>33</v>
      </c>
      <c r="B9" s="37">
        <f t="shared" si="0"/>
        <v>11832.98</v>
      </c>
      <c r="C9" s="33"/>
      <c r="D9" s="37">
        <f>IF( ISERROR(IND_andere_gas_kWh/1000),0,IND_andere_gas_kWh/1000)*0.902</f>
        <v>3291.7599661297199</v>
      </c>
      <c r="E9" s="33">
        <f>C31*'E Balans VL '!I19/100/3.6*1000000</f>
        <v>3253.5841696674552</v>
      </c>
      <c r="F9" s="33">
        <f>C31*'E Balans VL '!L19/100/3.6*1000000+C31*'E Balans VL '!N19/100/3.6*1000000</f>
        <v>9326.4473263582004</v>
      </c>
      <c r="G9" s="34"/>
      <c r="H9" s="33"/>
      <c r="I9" s="33"/>
      <c r="J9" s="40">
        <f>C31*'E Balans VL '!D19/100/3.6*1000000+C31*'E Balans VL '!E19/100/3.6*1000000</f>
        <v>0</v>
      </c>
      <c r="K9" s="33"/>
      <c r="L9" s="33"/>
      <c r="M9" s="33"/>
      <c r="N9" s="33">
        <f>C31*'E Balans VL '!Y19/100/3.6*1000000</f>
        <v>3830.6479644055585</v>
      </c>
      <c r="O9" s="33"/>
      <c r="P9" s="33"/>
      <c r="R9" s="32"/>
    </row>
    <row r="10" spans="1:18">
      <c r="A10" s="6" t="s">
        <v>41</v>
      </c>
      <c r="B10" s="37">
        <f t="shared" si="0"/>
        <v>5928.9759999999997</v>
      </c>
      <c r="C10" s="33"/>
      <c r="D10" s="37">
        <f>IF( ISERROR(IND_voed_gas_kWh/1000),0,IND_voed_gas_kWh/1000)*0.902</f>
        <v>8339.2105798033426</v>
      </c>
      <c r="E10" s="33">
        <f>C32*'E Balans VL '!I20/100/3.6*1000000</f>
        <v>60.442644028484047</v>
      </c>
      <c r="F10" s="33">
        <f>C32*'E Balans VL '!L20/100/3.6*1000000+C32*'E Balans VL '!N20/100/3.6*1000000</f>
        <v>11199.798581834697</v>
      </c>
      <c r="G10" s="34"/>
      <c r="H10" s="33"/>
      <c r="I10" s="33"/>
      <c r="J10" s="40">
        <f>C32*'E Balans VL '!D20/100/3.6*1000000+C32*'E Balans VL '!E20/100/3.6*1000000</f>
        <v>141.89979537730213</v>
      </c>
      <c r="K10" s="33"/>
      <c r="L10" s="33"/>
      <c r="M10" s="33"/>
      <c r="N10" s="33">
        <f>C32*'E Balans VL '!Y20/100/3.6*1000000</f>
        <v>3125.2532862913608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203.7869</v>
      </c>
      <c r="C12" s="33"/>
      <c r="D12" s="37">
        <f>IF( ISERROR(IND_min_gas_kWh/1000),0,IND_min_gas_kWh/1000)*0.902</f>
        <v>0</v>
      </c>
      <c r="E12" s="33">
        <f>C34*'E Balans VL '!I22/100/3.6*1000000</f>
        <v>0.61717833649810439</v>
      </c>
      <c r="F12" s="33">
        <f>C34*'E Balans VL '!L22/100/3.6*1000000+C34*'E Balans VL '!N22/100/3.6*1000000</f>
        <v>6.3685158279556564</v>
      </c>
      <c r="G12" s="34"/>
      <c r="H12" s="33"/>
      <c r="I12" s="33"/>
      <c r="J12" s="40">
        <f>C34*'E Balans VL '!D22/100/3.6*1000000+C34*'E Balans VL '!E22/100/3.6*1000000</f>
        <v>0.30217073433928898</v>
      </c>
      <c r="K12" s="33"/>
      <c r="L12" s="33"/>
      <c r="M12" s="33"/>
      <c r="N12" s="33">
        <f>C34*'E Balans VL '!Y22/100/3.6*1000000</f>
        <v>0</v>
      </c>
      <c r="O12" s="33"/>
      <c r="P12" s="33"/>
      <c r="R12" s="32"/>
    </row>
    <row r="13" spans="1:18">
      <c r="A13" s="6" t="s">
        <v>39</v>
      </c>
      <c r="B13" s="37">
        <f t="shared" si="0"/>
        <v>2063.1060000000002</v>
      </c>
      <c r="C13" s="33"/>
      <c r="D13" s="37">
        <f>IF( ISERROR(IND_papier_gas_kWh/1000),0,IND_papier_gas_kWh/1000)*0.902</f>
        <v>548.92717687181107</v>
      </c>
      <c r="E13" s="33">
        <f>C35*'E Balans VL '!I23/100/3.6*1000000</f>
        <v>4.2728317823017674</v>
      </c>
      <c r="F13" s="33">
        <f>C35*'E Balans VL '!L23/100/3.6*1000000+C35*'E Balans VL '!N23/100/3.6*1000000</f>
        <v>40.915814927724661</v>
      </c>
      <c r="G13" s="34"/>
      <c r="H13" s="33"/>
      <c r="I13" s="33"/>
      <c r="J13" s="40">
        <f>C35*'E Balans VL '!D23/100/3.6*1000000+C35*'E Balans VL '!E23/100/3.6*1000000</f>
        <v>0</v>
      </c>
      <c r="K13" s="33"/>
      <c r="L13" s="33"/>
      <c r="M13" s="33"/>
      <c r="N13" s="33">
        <f>C35*'E Balans VL '!Y23/100/3.6*1000000</f>
        <v>871.14211156775571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57094.415999999997</v>
      </c>
      <c r="C15" s="33"/>
      <c r="D15" s="37">
        <f>IF( ISERROR(IND_rest_gas_kWh/1000),0,IND_rest_gas_kWh/1000)*0.902</f>
        <v>36560.865140487978</v>
      </c>
      <c r="E15" s="33">
        <f>C37*'E Balans VL '!I15/100/3.6*1000000</f>
        <v>2904.5705254554173</v>
      </c>
      <c r="F15" s="33">
        <f>C37*'E Balans VL '!L15/100/3.6*1000000+C37*'E Balans VL '!N15/100/3.6*1000000</f>
        <v>13013.96553898765</v>
      </c>
      <c r="G15" s="34"/>
      <c r="H15" s="33"/>
      <c r="I15" s="33"/>
      <c r="J15" s="40">
        <f>C37*'E Balans VL '!D15/100/3.6*1000000+C37*'E Balans VL '!E15/100/3.6*1000000</f>
        <v>239.52993688033848</v>
      </c>
      <c r="K15" s="33"/>
      <c r="L15" s="33"/>
      <c r="M15" s="33"/>
      <c r="N15" s="33">
        <f>C37*'E Balans VL '!Y15/100/3.6*1000000</f>
        <v>10727.120417818584</v>
      </c>
      <c r="O15" s="33"/>
      <c r="P15" s="33"/>
      <c r="R15" s="32"/>
    </row>
    <row r="16" spans="1:18">
      <c r="A16" s="16" t="s">
        <v>494</v>
      </c>
      <c r="B16" s="247">
        <f>'lokale energieproductie'!N89+'lokale energieproductie'!N58</f>
        <v>630.00000000000011</v>
      </c>
      <c r="C16" s="247">
        <f>'lokale energieproductie'!O89+'lokale energieproductie'!O58</f>
        <v>900.00000000000023</v>
      </c>
      <c r="D16" s="310">
        <f>('lokale energieproductie'!P58+'lokale energieproductie'!P89)*(-1)</f>
        <v>-1800.0000000000005</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107752.5389</v>
      </c>
      <c r="C18" s="21">
        <f>C5+C16</f>
        <v>900.00000000000023</v>
      </c>
      <c r="D18" s="21">
        <f>MAX((D5+D16),0)</f>
        <v>47989.461738668942</v>
      </c>
      <c r="E18" s="21">
        <f>MAX((E5+E16),0)</f>
        <v>6974.2641822805317</v>
      </c>
      <c r="F18" s="21">
        <f>MAX((F5+F16),0)</f>
        <v>42989.417473599395</v>
      </c>
      <c r="G18" s="21"/>
      <c r="H18" s="21"/>
      <c r="I18" s="21"/>
      <c r="J18" s="21">
        <f>MAX((J5+J16),0)</f>
        <v>381.73190299197989</v>
      </c>
      <c r="K18" s="21"/>
      <c r="L18" s="21">
        <f>MAX((L5+L16),0)</f>
        <v>0</v>
      </c>
      <c r="M18" s="21"/>
      <c r="N18" s="21">
        <f>MAX((N5+N16),0)</f>
        <v>19307.823397868287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0.21189511407575035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22832.236522167226</v>
      </c>
      <c r="C22" s="23">
        <f ca="1">C18*C20</f>
        <v>213.88235294117658</v>
      </c>
      <c r="D22" s="23">
        <f>D18*D20</f>
        <v>9693.8712712111264</v>
      </c>
      <c r="E22" s="23">
        <f>E18*E20</f>
        <v>1583.1579693776807</v>
      </c>
      <c r="F22" s="23">
        <f>F18*F20</f>
        <v>11478.174465451038</v>
      </c>
      <c r="G22" s="23"/>
      <c r="H22" s="23"/>
      <c r="I22" s="23"/>
      <c r="J22" s="23">
        <f>J18*J20</f>
        <v>135.13309365916086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29999.274000000001</v>
      </c>
      <c r="C30" s="39">
        <f>IF(ISERROR(B30*3.6/1000000/'E Balans VL '!Z18*100),0,B30*3.6/1000000/'E Balans VL '!Z18*100)</f>
        <v>4.1988986231495522</v>
      </c>
      <c r="D30" s="237" t="s">
        <v>692</v>
      </c>
    </row>
    <row r="31" spans="1:18">
      <c r="A31" s="6" t="s">
        <v>33</v>
      </c>
      <c r="B31" s="37">
        <f>IF( ISERROR(IND_ander_ele_kWh/1000),0,IND_ander_ele_kWh/1000)</f>
        <v>11832.98</v>
      </c>
      <c r="C31" s="39">
        <f>IF(ISERROR(B31*3.6/1000000/'E Balans VL '!Z19*100),0,B31*3.6/1000000/'E Balans VL '!Z19*100)</f>
        <v>0.51792761501792073</v>
      </c>
      <c r="D31" s="237" t="s">
        <v>692</v>
      </c>
    </row>
    <row r="32" spans="1:18">
      <c r="A32" s="171" t="s">
        <v>41</v>
      </c>
      <c r="B32" s="37">
        <f>IF( ISERROR(IND_voed_ele_kWh/1000),0,IND_voed_ele_kWh/1000)</f>
        <v>5928.9759999999997</v>
      </c>
      <c r="C32" s="39">
        <f>IF(ISERROR(B32*3.6/1000000/'E Balans VL '!Z20*100),0,B32*3.6/1000000/'E Balans VL '!Z20*100)</f>
        <v>1.4678175660188115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203.7869</v>
      </c>
      <c r="C34" s="39">
        <f>IF(ISERROR(B34*3.6/1000000/'E Balans VL '!Z22*100),0,B34*3.6/1000000/'E Balans VL '!Z22*100)</f>
        <v>5.7826408161314553E-3</v>
      </c>
      <c r="D34" s="237" t="s">
        <v>692</v>
      </c>
    </row>
    <row r="35" spans="1:5">
      <c r="A35" s="171" t="s">
        <v>39</v>
      </c>
      <c r="B35" s="37">
        <f>IF( ISERROR(IND_papier_ele_kWh/1000),0,IND_papier_ele_kWh/1000)</f>
        <v>2063.1060000000002</v>
      </c>
      <c r="C35" s="39">
        <f>IF(ISERROR(B35*3.6/1000000/'E Balans VL '!Z22*100),0,B35*3.6/1000000/'E Balans VL '!Z22*100)</f>
        <v>5.8542531259888168E-2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57094.415999999997</v>
      </c>
      <c r="C37" s="39">
        <f>IF(ISERROR(B37*3.6/1000000/'E Balans VL '!Z15*100),0,B37*3.6/1000000/'E Balans VL '!Z15*100)</f>
        <v>0.42334531966233852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2707.7867700000002</v>
      </c>
      <c r="C5" s="17">
        <f>'Eigen informatie GS &amp; warmtenet'!B60</f>
        <v>0</v>
      </c>
      <c r="D5" s="30">
        <f>IF(ISERROR(SUM(LB_lb_gas_kWh,LB_rest_gas_kWh,onbekend_gas_kWh)/1000),0,SUM(LB_lb_gas_kWh,LB_rest_gas_kWh,onbekend_gas_kWh)/1000)*0.902</f>
        <v>63882.682485169134</v>
      </c>
      <c r="E5" s="17">
        <f>B17*'E Balans VL '!I25/3.6*1000000/100</f>
        <v>25.080655189090251</v>
      </c>
      <c r="F5" s="17">
        <f>B17*('E Balans VL '!L25/3.6*1000000+'E Balans VL '!N25/3.6*1000000)/100</f>
        <v>6870.1708683403267</v>
      </c>
      <c r="G5" s="18"/>
      <c r="H5" s="17"/>
      <c r="I5" s="17"/>
      <c r="J5" s="17">
        <f>('E Balans VL '!D25+'E Balans VL '!E25)/3.6*1000000*landbouw!B17/100</f>
        <v>415.13393082955014</v>
      </c>
      <c r="K5" s="17"/>
      <c r="L5" s="17">
        <f>L6*(-1)</f>
        <v>0</v>
      </c>
      <c r="M5" s="17"/>
      <c r="N5" s="17">
        <f>N6*(-1)</f>
        <v>0</v>
      </c>
      <c r="O5" s="17"/>
      <c r="P5" s="17"/>
      <c r="R5" s="32"/>
    </row>
    <row r="6" spans="1:18">
      <c r="A6" s="16" t="s">
        <v>494</v>
      </c>
      <c r="B6" s="17" t="s">
        <v>211</v>
      </c>
      <c r="C6" s="17">
        <f>'lokale energieproductie'!O91+'lokale energieproductie'!O60</f>
        <v>32406.428571428572</v>
      </c>
      <c r="D6" s="310">
        <f>('lokale energieproductie'!P60+'lokale energieproductie'!P91)*(-1)</f>
        <v>-64812.857142857145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2707.7867700000002</v>
      </c>
      <c r="C8" s="21">
        <f>C5+C6</f>
        <v>32406.428571428572</v>
      </c>
      <c r="D8" s="21">
        <f>MAX((D5+D6),0)</f>
        <v>0</v>
      </c>
      <c r="E8" s="21">
        <f>MAX((E5+E6),0)</f>
        <v>25.080655189090251</v>
      </c>
      <c r="F8" s="21">
        <f>MAX((F5+F6),0)</f>
        <v>6870.1708683403267</v>
      </c>
      <c r="G8" s="21"/>
      <c r="H8" s="21"/>
      <c r="I8" s="21"/>
      <c r="J8" s="21">
        <f>MAX((J5+J6),0)</f>
        <v>415.13393082955014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0.21189511407575035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573.76678652195756</v>
      </c>
      <c r="C12" s="23">
        <f ca="1">C8*C10</f>
        <v>7701.2924369747916</v>
      </c>
      <c r="D12" s="23">
        <f>D8*D10</f>
        <v>0</v>
      </c>
      <c r="E12" s="23">
        <f>E8*E10</f>
        <v>5.6933087279234869</v>
      </c>
      <c r="F12" s="23">
        <f>F8*F10</f>
        <v>1834.3356218468673</v>
      </c>
      <c r="G12" s="23"/>
      <c r="H12" s="23"/>
      <c r="I12" s="23"/>
      <c r="J12" s="23">
        <f>J8*J10</f>
        <v>146.95741151366073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0.38498986369034599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148.00657212490074</v>
      </c>
      <c r="C26" s="247">
        <f>B26*'GWP N2O_CH4'!B5</f>
        <v>3108.1380146229158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64.750816785006009</v>
      </c>
      <c r="C27" s="247">
        <f>B27*'GWP N2O_CH4'!B5</f>
        <v>1359.7671524851262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3.2760288578355392</v>
      </c>
      <c r="C28" s="247">
        <f>B28*'GWP N2O_CH4'!B4</f>
        <v>1015.5689459290171</v>
      </c>
      <c r="D28" s="50"/>
    </row>
    <row r="29" spans="1:4">
      <c r="A29" s="41" t="s">
        <v>277</v>
      </c>
      <c r="B29" s="247">
        <f>B34*'ha_N2O bodem landbouw'!B4</f>
        <v>10.273909653058714</v>
      </c>
      <c r="C29" s="247">
        <f>B29*'GWP N2O_CH4'!B4</f>
        <v>3184.9119924482015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2.3042569365260357E-3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1.1452694145618533E-4</v>
      </c>
      <c r="C5" s="464" t="s">
        <v>211</v>
      </c>
      <c r="D5" s="449">
        <f>SUM(D6:D11)</f>
        <v>2.9718929238107638E-4</v>
      </c>
      <c r="E5" s="449">
        <f>SUM(E6:E11)</f>
        <v>2.0673930968550824E-3</v>
      </c>
      <c r="F5" s="462" t="s">
        <v>211</v>
      </c>
      <c r="G5" s="449">
        <f>SUM(G6:G11)</f>
        <v>0.62761967968224763</v>
      </c>
      <c r="H5" s="449">
        <f>SUM(H6:H11)</f>
        <v>0.11422753525996274</v>
      </c>
      <c r="I5" s="464" t="s">
        <v>211</v>
      </c>
      <c r="J5" s="464" t="s">
        <v>211</v>
      </c>
      <c r="K5" s="464" t="s">
        <v>211</v>
      </c>
      <c r="L5" s="464" t="s">
        <v>211</v>
      </c>
      <c r="M5" s="449">
        <f>SUM(M6:M11)</f>
        <v>3.9821282257738372E-2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5.691847774086345E-5</v>
      </c>
      <c r="C6" s="450"/>
      <c r="D6" s="963">
        <f>vkm_2011_GW_PW*SUMIFS(TableVerdeelsleutelVkm[CNG],TableVerdeelsleutelVkm[Voertuigtype],"Lichte voertuigen")*SUMIFS(TableECFTransport[EnergieConsumptieFactor (PJ per km)],TableECFTransport[Index],CONCATENATE($A6,"_CNG_CNG"))</f>
        <v>1.3165870547943005E-4</v>
      </c>
      <c r="E6" s="963">
        <f>vkm_2011_GW_PW*SUMIFS(TableVerdeelsleutelVkm[LPG],TableVerdeelsleutelVkm[Voertuigtype],"Lichte voertuigen")*SUMIFS(TableECFTransport[EnergieConsumptieFactor (PJ per km)],TableECFTransport[Index],CONCATENATE($A6,"_LPG_LPG"))</f>
        <v>8.5728198361684042E-4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0.17809398969289336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5.0201015272168525E-2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1.1847327291949922E-2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7.2534486508326182E-2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2.4805477098210291E-5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4.1965311886344699E-3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1.5494549480846401E-5</v>
      </c>
      <c r="C8" s="450"/>
      <c r="D8" s="452">
        <f>vkm_2011_NGW_PW*SUMIFS(TableVerdeelsleutelVkm[CNG],TableVerdeelsleutelVkm[Voertuigtype],"Lichte voertuigen")*SUMIFS(TableECFTransport[EnergieConsumptieFactor (PJ per km)],TableECFTransport[Index],CONCATENATE($A8,"_CNG_CNG"))</f>
        <v>6.3391545129486016E-5</v>
      </c>
      <c r="E8" s="452">
        <f>vkm_2011_NGW_PW*SUMIFS(TableVerdeelsleutelVkm[LPG],TableVerdeelsleutelVkm[Voertuigtype],"Lichte voertuigen")*SUMIFS(TableECFTransport[EnergieConsumptieFactor (PJ per km)],TableECFTransport[Index],CONCATENATE($A8,"_LPG_LPG"))</f>
        <v>3.8094142284435728E-4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7.397826468884415E-2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2.3371631722544438E-2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4.9987867985846627E-3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1.7590507076176719E-2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5.6920831835797108E-6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1.0177005812540482E-3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4.2113914234475493E-5</v>
      </c>
      <c r="C10" s="450"/>
      <c r="D10" s="452">
        <f>vkm_2011_SW_PW*SUMIFS(TableVerdeelsleutelVkm[CNG],TableVerdeelsleutelVkm[Voertuigtype],"Lichte voertuigen")*SUMIFS(TableECFTransport[EnergieConsumptieFactor (PJ per km)],TableECFTransport[Index],CONCATENATE($A10,"_CNG_CNG"))</f>
        <v>1.0213904177216031E-4</v>
      </c>
      <c r="E10" s="452">
        <f>vkm_2011_SW_PW*SUMIFS(TableVerdeelsleutelVkm[LPG],TableVerdeelsleutelVkm[Voertuigtype],"Lichte voertuigen")*SUMIFS(TableECFTransport[EnergieConsumptieFactor (PJ per km)],TableECFTransport[Index],CONCATENATE($A10,"_LPG_LPG"))</f>
        <v>8.2916969039388468E-4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0.15507853962587831</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4.0576350865173853E-2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1.0219696758419741E-2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0.13034389209012889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4.8039839794128564E-5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7.5412396388955284E-3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31.813039293384815</v>
      </c>
      <c r="C14" s="21"/>
      <c r="D14" s="21">
        <f t="shared" ref="D14:M14" si="0">((D5)*10^9/3600)+D12</f>
        <v>82.552581216965663</v>
      </c>
      <c r="E14" s="21">
        <f t="shared" si="0"/>
        <v>574.27586023752292</v>
      </c>
      <c r="F14" s="21"/>
      <c r="G14" s="21">
        <f t="shared" si="0"/>
        <v>174338.79991173546</v>
      </c>
      <c r="H14" s="21">
        <f t="shared" si="0"/>
        <v>31729.870905545205</v>
      </c>
      <c r="I14" s="21"/>
      <c r="J14" s="21"/>
      <c r="K14" s="21"/>
      <c r="L14" s="21"/>
      <c r="M14" s="21">
        <f t="shared" si="0"/>
        <v>11061.467293816215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0.21189511407575035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6.7410275901681036</v>
      </c>
      <c r="C18" s="23"/>
      <c r="D18" s="23">
        <f t="shared" ref="D18:M18" si="1">D14*D16</f>
        <v>16.675621405827066</v>
      </c>
      <c r="E18" s="23">
        <f t="shared" si="1"/>
        <v>130.3606202739177</v>
      </c>
      <c r="F18" s="23"/>
      <c r="G18" s="23">
        <f t="shared" si="1"/>
        <v>46548.459576433372</v>
      </c>
      <c r="H18" s="23">
        <f t="shared" si="1"/>
        <v>7900.7378554807565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8.2130387464619554E-3</v>
      </c>
      <c r="H50" s="321">
        <f t="shared" si="2"/>
        <v>0</v>
      </c>
      <c r="I50" s="321">
        <f t="shared" si="2"/>
        <v>0</v>
      </c>
      <c r="J50" s="321">
        <f t="shared" si="2"/>
        <v>0</v>
      </c>
      <c r="K50" s="321">
        <f t="shared" si="2"/>
        <v>0</v>
      </c>
      <c r="L50" s="321">
        <f t="shared" si="2"/>
        <v>0</v>
      </c>
      <c r="M50" s="321">
        <f t="shared" si="2"/>
        <v>4.683656574094223E-4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8.2130387464619554E-3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4.683656574094223E-4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2281.3996517949877</v>
      </c>
      <c r="H54" s="21">
        <f t="shared" si="3"/>
        <v>0</v>
      </c>
      <c r="I54" s="21">
        <f t="shared" si="3"/>
        <v>0</v>
      </c>
      <c r="J54" s="21">
        <f t="shared" si="3"/>
        <v>0</v>
      </c>
      <c r="K54" s="21">
        <f t="shared" si="3"/>
        <v>0</v>
      </c>
      <c r="L54" s="21">
        <f t="shared" si="3"/>
        <v>0</v>
      </c>
      <c r="M54" s="21">
        <f t="shared" si="3"/>
        <v>130.1015715026173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0.21189511407575035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609.1337070292617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10289.48528693747</v>
      </c>
      <c r="C6" s="1216"/>
      <c r="D6" s="1201"/>
      <c r="E6" s="1201"/>
      <c r="F6" s="1219"/>
      <c r="G6" s="1222"/>
      <c r="H6" s="1213"/>
      <c r="I6" s="1201"/>
      <c r="J6" s="1201"/>
      <c r="K6" s="1201"/>
      <c r="L6" s="1205"/>
      <c r="M6" s="576"/>
      <c r="N6" s="1179"/>
      <c r="O6" s="1180"/>
      <c r="Q6" s="574"/>
      <c r="R6" s="1167"/>
      <c r="S6" s="1167"/>
    </row>
    <row r="7" spans="1:19" s="564" customFormat="1">
      <c r="A7" s="577" t="s">
        <v>252</v>
      </c>
      <c r="B7" s="578">
        <f>N57</f>
        <v>23314.5</v>
      </c>
      <c r="C7" s="579">
        <f>B100</f>
        <v>27428.823529411766</v>
      </c>
      <c r="D7" s="580"/>
      <c r="E7" s="580">
        <f>E100</f>
        <v>0</v>
      </c>
      <c r="F7" s="581"/>
      <c r="G7" s="582"/>
      <c r="H7" s="580">
        <f>I100</f>
        <v>0</v>
      </c>
      <c r="I7" s="580">
        <f>G100+F100</f>
        <v>0</v>
      </c>
      <c r="J7" s="580">
        <f>H100+D100+C100</f>
        <v>0</v>
      </c>
      <c r="K7" s="580"/>
      <c r="L7" s="583"/>
      <c r="M7" s="584">
        <f>C7*$C$11+D7*$D$11+E7*$E$11+F7*$F$11+G7*$G$11+H7*$H$11+I7*$I$11+J7*$J$11</f>
        <v>5540.6223529411773</v>
      </c>
      <c r="N7" s="1179"/>
      <c r="O7" s="1180"/>
      <c r="Q7" s="574"/>
      <c r="R7" s="1167"/>
      <c r="S7" s="1167"/>
    </row>
    <row r="8" spans="1:19" s="564" customFormat="1" ht="17.45" customHeight="1" thickBot="1">
      <c r="A8" s="585" t="s">
        <v>248</v>
      </c>
      <c r="B8" s="586">
        <f>N88+'Eigen informatie GS &amp; warmtenet'!B12</f>
        <v>900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34503.985286937474</v>
      </c>
      <c r="C9" s="595">
        <f t="shared" ref="C9:L9" si="0">SUM(C7:C8)</f>
        <v>27428.823529411766</v>
      </c>
      <c r="D9" s="595">
        <f t="shared" si="0"/>
        <v>0</v>
      </c>
      <c r="E9" s="595">
        <f t="shared" si="0"/>
        <v>0</v>
      </c>
      <c r="F9" s="595">
        <f t="shared" si="0"/>
        <v>0</v>
      </c>
      <c r="G9" s="595">
        <f t="shared" si="0"/>
        <v>0</v>
      </c>
      <c r="H9" s="595">
        <f t="shared" si="0"/>
        <v>0</v>
      </c>
      <c r="I9" s="595">
        <f t="shared" si="0"/>
        <v>0</v>
      </c>
      <c r="J9" s="595">
        <f t="shared" si="0"/>
        <v>2571.4285714285716</v>
      </c>
      <c r="K9" s="595">
        <f t="shared" si="0"/>
        <v>0</v>
      </c>
      <c r="L9" s="595">
        <f t="shared" si="0"/>
        <v>0</v>
      </c>
      <c r="M9" s="596">
        <f>SUM(M4:M8)</f>
        <v>5540.6223529411773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33306.428571428572</v>
      </c>
      <c r="C16" s="611">
        <f>B101</f>
        <v>39184.033613445383</v>
      </c>
      <c r="D16" s="612"/>
      <c r="E16" s="612">
        <f>E101</f>
        <v>0</v>
      </c>
      <c r="F16" s="613"/>
      <c r="G16" s="614"/>
      <c r="H16" s="611">
        <f>I101</f>
        <v>0</v>
      </c>
      <c r="I16" s="612">
        <f>G101+F101</f>
        <v>0</v>
      </c>
      <c r="J16" s="612">
        <f>H101+D101+C101</f>
        <v>0</v>
      </c>
      <c r="K16" s="612"/>
      <c r="L16" s="615"/>
      <c r="M16" s="616">
        <f>C16*$C$21+E16*$E$21+H16*$H$21+I16*$I$21+J16*$J$21+D16*$D$21+F16*$F$21+G16*$G$21+K16*$K$21+L16*$L$21</f>
        <v>7915.1747899159682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33306.428571428572</v>
      </c>
      <c r="C19" s="594">
        <f>SUM(C16:C18)</f>
        <v>39184.033613445383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7915.1747899159682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13011</v>
      </c>
      <c r="C27" s="852">
        <v>2200</v>
      </c>
      <c r="D27" s="673" t="s">
        <v>834</v>
      </c>
      <c r="E27" s="672" t="s">
        <v>835</v>
      </c>
      <c r="F27" s="672" t="s">
        <v>836</v>
      </c>
      <c r="G27" s="672" t="s">
        <v>837</v>
      </c>
      <c r="H27" s="672" t="s">
        <v>838</v>
      </c>
      <c r="I27" s="672" t="s">
        <v>835</v>
      </c>
      <c r="J27" s="851">
        <v>41323</v>
      </c>
      <c r="K27" s="851">
        <v>39511</v>
      </c>
      <c r="L27" s="672" t="s">
        <v>839</v>
      </c>
      <c r="M27" s="672">
        <v>5041</v>
      </c>
      <c r="N27" s="672">
        <v>22684.5</v>
      </c>
      <c r="O27" s="672">
        <v>32406.428571428572</v>
      </c>
      <c r="P27" s="672">
        <v>64812.857142857145</v>
      </c>
      <c r="Q27" s="672">
        <v>0</v>
      </c>
      <c r="R27" s="672">
        <v>0</v>
      </c>
      <c r="S27" s="672">
        <v>0</v>
      </c>
      <c r="T27" s="672">
        <v>0</v>
      </c>
      <c r="U27" s="672">
        <v>0</v>
      </c>
      <c r="V27" s="672">
        <v>0</v>
      </c>
      <c r="W27" s="672">
        <v>0</v>
      </c>
      <c r="X27" s="672">
        <v>10</v>
      </c>
      <c r="Y27" s="672" t="s">
        <v>112</v>
      </c>
      <c r="Z27" s="674" t="s">
        <v>112</v>
      </c>
    </row>
    <row r="28" spans="1:26" s="626" customFormat="1" ht="38.25">
      <c r="A28" s="625"/>
      <c r="B28" s="852">
        <v>13011</v>
      </c>
      <c r="C28" s="852">
        <v>2200</v>
      </c>
      <c r="D28" s="673" t="s">
        <v>840</v>
      </c>
      <c r="E28" s="672" t="s">
        <v>841</v>
      </c>
      <c r="F28" s="672" t="s">
        <v>842</v>
      </c>
      <c r="G28" s="672" t="s">
        <v>837</v>
      </c>
      <c r="H28" s="672" t="s">
        <v>838</v>
      </c>
      <c r="I28" s="672" t="s">
        <v>841</v>
      </c>
      <c r="J28" s="851">
        <v>41326</v>
      </c>
      <c r="K28" s="851">
        <v>41395</v>
      </c>
      <c r="L28" s="672" t="s">
        <v>839</v>
      </c>
      <c r="M28" s="672">
        <v>140</v>
      </c>
      <c r="N28" s="672">
        <v>630.00000000000011</v>
      </c>
      <c r="O28" s="672">
        <v>900.00000000000023</v>
      </c>
      <c r="P28" s="672">
        <v>1800.0000000000005</v>
      </c>
      <c r="Q28" s="672">
        <v>0</v>
      </c>
      <c r="R28" s="672">
        <v>0</v>
      </c>
      <c r="S28" s="672">
        <v>0</v>
      </c>
      <c r="T28" s="672">
        <v>0</v>
      </c>
      <c r="U28" s="672">
        <v>0</v>
      </c>
      <c r="V28" s="672">
        <v>0</v>
      </c>
      <c r="W28" s="672">
        <v>0</v>
      </c>
      <c r="X28" s="672">
        <v>800</v>
      </c>
      <c r="Y28" s="672" t="s">
        <v>36</v>
      </c>
      <c r="Z28" s="674" t="s">
        <v>389</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5181</v>
      </c>
      <c r="N57" s="630">
        <f>SUM(N27:N56)</f>
        <v>23314.5</v>
      </c>
      <c r="O57" s="630">
        <f t="shared" ref="O57:W57" si="2">SUM(O27:O56)</f>
        <v>33306.428571428572</v>
      </c>
      <c r="P57" s="630">
        <f t="shared" si="2"/>
        <v>66612.857142857145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140</v>
      </c>
      <c r="N58" s="630">
        <f t="shared" ref="N58:W58" si="3">SUMIF($Z$27:$Z$56,"industrie",N27:N56)</f>
        <v>630.00000000000011</v>
      </c>
      <c r="O58" s="630">
        <f t="shared" si="3"/>
        <v>900.00000000000023</v>
      </c>
      <c r="P58" s="630">
        <f t="shared" si="3"/>
        <v>1800.0000000000005</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5041</v>
      </c>
      <c r="N60" s="635">
        <f t="shared" ref="N60:W60" si="4">SUMIF($Z$27:$Z$56,"landbouw",N27:N56)</f>
        <v>22684.5</v>
      </c>
      <c r="O60" s="635">
        <f t="shared" si="4"/>
        <v>32406.428571428572</v>
      </c>
      <c r="P60" s="635">
        <f t="shared" si="4"/>
        <v>64812.857142857145</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13011</v>
      </c>
      <c r="C63" s="852">
        <v>2200</v>
      </c>
      <c r="D63" s="675" t="s">
        <v>843</v>
      </c>
      <c r="E63" s="675" t="s">
        <v>844</v>
      </c>
      <c r="F63" s="675" t="s">
        <v>845</v>
      </c>
      <c r="G63" s="675" t="s">
        <v>846</v>
      </c>
      <c r="H63" s="675" t="s">
        <v>847</v>
      </c>
      <c r="I63" s="675" t="s">
        <v>848</v>
      </c>
      <c r="J63" s="851">
        <v>39217</v>
      </c>
      <c r="K63" s="851">
        <v>39227</v>
      </c>
      <c r="L63" s="675" t="s">
        <v>849</v>
      </c>
      <c r="M63" s="675">
        <v>200</v>
      </c>
      <c r="N63" s="675">
        <v>900</v>
      </c>
      <c r="O63" s="675">
        <v>0</v>
      </c>
      <c r="P63" s="675">
        <v>0</v>
      </c>
      <c r="Q63" s="675">
        <v>2571.4285714285716</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200</v>
      </c>
      <c r="N88" s="630">
        <f t="shared" ref="N88:W88" si="5">SUM(N63:N87)</f>
        <v>900</v>
      </c>
      <c r="O88" s="630">
        <f t="shared" si="5"/>
        <v>0</v>
      </c>
      <c r="P88" s="630">
        <f t="shared" si="5"/>
        <v>0</v>
      </c>
      <c r="Q88" s="630">
        <f t="shared" si="5"/>
        <v>2571.4285714285716</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200</v>
      </c>
      <c r="N90" s="630">
        <f t="shared" ref="N90:W90" si="7">SUMIF($Z$63:$Z$88,"tertiair",N63:N88)</f>
        <v>900</v>
      </c>
      <c r="O90" s="630">
        <f t="shared" si="7"/>
        <v>0</v>
      </c>
      <c r="P90" s="630">
        <f t="shared" si="7"/>
        <v>0</v>
      </c>
      <c r="Q90" s="630">
        <f t="shared" si="7"/>
        <v>2571.4285714285716</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27428.823529411766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39184.033613445383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2018-06-27T09:34:58Z</dcterms:modified>
</cp:coreProperties>
</file>