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I8" i="18"/>
  <c r="J68" i="14" s="1"/>
  <c r="L16" i="16"/>
  <c r="L18" s="1"/>
  <c r="L8" i="48" s="1"/>
  <c r="F16" i="16"/>
  <c r="D13" i="15"/>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P55" s="1"/>
  <c r="N7" i="48"/>
  <c r="N24" s="1"/>
  <c r="E13" i="14"/>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7" s="1"/>
  <c r="C12" s="1"/>
  <c r="D48" i="14" s="1"/>
  <c r="D31" i="48"/>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29" i="20"/>
  <c r="Q5" i="48"/>
  <c r="O13" i="14"/>
  <c r="O15" s="1"/>
  <c r="F22" i="16"/>
  <c r="G39" i="14" s="1"/>
  <c r="G41" s="1"/>
  <c r="N22" i="16"/>
  <c r="O39" i="14" s="1"/>
  <c r="O41" s="1"/>
  <c r="F8" i="48"/>
  <c r="Q4"/>
  <c r="N22"/>
  <c r="N14"/>
  <c r="R11" i="14"/>
  <c r="J21" i="48"/>
  <c r="C18" i="15" l="1"/>
  <c r="C20" s="1"/>
  <c r="D36" i="14" s="1"/>
  <c r="C20" i="16"/>
  <c r="C22" s="1"/>
  <c r="D39" i="14" s="1"/>
  <c r="C17" i="19"/>
  <c r="C19" s="1"/>
  <c r="D35" i="14" s="1"/>
  <c r="E14" i="48"/>
  <c r="C17" i="49"/>
  <c r="K41" i="14"/>
  <c r="K53" s="1"/>
  <c r="N31" i="48"/>
  <c r="C56" i="22"/>
  <c r="C58" s="1"/>
  <c r="D44" i="14" s="1"/>
  <c r="D46" s="1"/>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<sst xmlns="http://schemas.openxmlformats.org/spreadsheetml/2006/main" count="2040" uniqueCount="875">
  <si>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</si>
  <si>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</si>
  <si>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</si>
  <si>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</si>
  <si>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</si>
  <si>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</si>
  <si>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</si>
  <si>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</si>
  <si>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</si>
  <si>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</si>
  <si>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</si>
  <si>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</si>
  <si>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</si>
  <si>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</si>
  <si>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</si>
  <si>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</si>
  <si>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</si>
  <si>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</si>
  <si>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</si>
  <si>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</si>
  <si>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</si>
  <si>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</si>
  <si>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</si>
  <si>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</si>
  <si>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</si>
  <si>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</si>
  <si>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</si>
  <si>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</si>
  <si>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</si>
  <si>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</si>
  <si>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</si>
  <si>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</si>
  <si>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</si>
  <si>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</si>
  <si>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</si>
  <si>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</si>
  <si>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</si>
  <si>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</si>
  <si>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</si>
  <si>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</si>
  <si>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</si>
  <si>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</si>
  <si>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</si>
  <si>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</si>
  <si>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</si>
  <si>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</si>
  <si>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</si>
  <si>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</si>
  <si>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</si>
  <si>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</si>
  <si>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</si>
  <si>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</si>
  <si>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</si>
  <si>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</si>
  <si>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</si>
  <si>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</si>
  <si>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</si>
  <si>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</si>
  <si>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</si>
  <si>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</si>
  <si>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</si>
  <si>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</si>
  <si>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</si>
  <si>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</si>
  <si>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</si>
  <si>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</si>
  <si>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</si>
  <si>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</si>
  <si>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</si>
  <si>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</si>
  <si>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</si>
  <si>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</si>
  <si>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</si>
  <si>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</si>
  <si>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</si>
  <si>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</si>
  <si>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</si>
  <si>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</si>
  <si>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</si>
  <si>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</si>
  <si>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</si>
  <si>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</si>
  <si>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</si>
  <si>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</si>
  <si>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</si>
  <si>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</si>
  <si>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</si>
  <si>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</si>
  <si>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</si>
  <si>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</si>
  <si>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</si>
  <si>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</si>
  <si>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</si>
  <si>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</si>
  <si>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</si>
  <si>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</si>
  <si>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</si>
  <si>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</si>
  <si>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</si>
  <si>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</si>
  <si>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</si>
  <si>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</si>
  <si>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</si>
  <si>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</si>
  <si>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</si>
  <si>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</si>
  <si>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</si>
  <si>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</si>
  <si>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</si>
  <si>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</si>
  <si>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</si>
  <si>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</si>
  <si>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</si>
  <si>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</si>
  <si>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</si>
  <si>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</si>
  <si>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</si>
  <si>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</si>
  <si>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</si>
  <si>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</si>
  <si>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</si>
  <si>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</si>
  <si>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</si>
  <si>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</si>
  <si>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</si>
  <si>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</si>
  <si>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</si>
  <si>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</si>
  <si>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</si>
  <si>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</si>
  <si>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</si>
  <si>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</si>
  <si>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</si>
  <si>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</si>
  <si>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</si>
  <si>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</si>
  <si>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</si>
  <si>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</si>
  <si>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</si>
  <si>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</si>
  <si>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</si>
  <si>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</si>
  <si>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</si>
  <si>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</si>
  <si>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</si>
  <si>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</si>
  <si>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</si>
  <si>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</si>
  <si>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</si>
  <si>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</si>
  <si>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</si>
  <si>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</si>
  <si>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</si>
  <si>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</si>
  <si>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</si>
  <si>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</si>
  <si>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</si>
  <si>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</si>
  <si>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</si>
  <si>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</si>
  <si>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</si>
  <si>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</si>
  <si>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</si>
  <si>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</si>
  <si>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</si>
  <si>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</si>
  <si>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</si>
  <si>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</si>
  <si>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</si>
  <si>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</si>
  <si>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</si>
  <si>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</si>
  <si>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</si>
  <si>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</si>
  <si>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</si>
  <si>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</si>
  <si>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</si>
  <si>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</si>
  <si>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</si>
  <si>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</si>
  <si>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</si>
  <si>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</si>
  <si>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</si>
  <si>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</si>
  <si>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</si>
  <si>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</si>
  <si>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</si>
  <si>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</si>
  <si>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</si>
  <si>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</si>
  <si>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</si>
  <si>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</si>
  <si>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</si>
  <si>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</si>
  <si>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</si>
  <si>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</si>
  <si>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</si>
  <si>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</si>
  <si>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</si>
  <si>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</si>
  <si>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</si>
  <si>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</si>
  <si>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</si>
  <si>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</si>
  <si>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</si>
  <si>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</si>
  <si>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</si>
  <si>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</si>
  <si>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</si>
  <si>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</si>
  <si>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</si>
  <si>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</si>
  <si>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</si>
  <si>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</si>
  <si>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</si>
  <si>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</si>
  <si>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</si>
  <si>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</si>
  <si>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</si>
  <si>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</si>
  <si>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</si>
  <si>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</si>
  <si>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</si>
  <si>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</si>
  <si>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</si>
  <si>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</si>
  <si>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</si>
  <si>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</si>
  <si>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</si>
  <si>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</si>
  <si>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</si>
  <si>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</si>
  <si>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</si>
  <si>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</si>
  <si>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</si>
  <si>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</si>
  <si>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</si>
  <si>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</si>
  <si>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</si>
  <si>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</si>
  <si>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</si>
  <si>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</si>
  <si>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</si>
  <si>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</si>
  <si>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</si>
  <si>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</si>
  <si>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</si>
  <si>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</si>
  <si>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</si>
  <si>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</si>
  <si>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</si>
  <si>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</si>
  <si>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</si>
  <si>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</si>
  <si>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</si>
  <si>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</si>
  <si>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</si>
  <si>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</si>
  <si>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</si>
  <si>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</si>
  <si>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</si>
  <si>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</si>
  <si>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</si>
  <si>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</si>
  <si>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</si>
  <si>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</si>
  <si>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</si>
  <si>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</si>
  <si>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</si>
  <si>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</si>
  <si>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</si>
  <si>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</si>
  <si>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</si>
  <si>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</si>
  <si>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</si>
  <si>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</si>
  <si>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</si>
  <si>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</si>
  <si>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</si>
  <si>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</si>
  <si>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</si>
  <si>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</si>
  <si>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</si>
  <si>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</si>
  <si>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</si>
  <si>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</si>
  <si>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</si>
  <si>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</si>
  <si>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</si>
  <si>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</si>
  <si>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</si>
  <si>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</si>
  <si>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</si>
  <si>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</si>
  <si>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</si>
  <si>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</si>
  <si>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</si>
  <si>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</si>
  <si>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</si>
  <si>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</si>
  <si>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</si>
  <si>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</si>
  <si>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</si>
  <si>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</si>
  <si>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</si>
  <si>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</si>
  <si>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</si>
  <si>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</si>
  <si>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</si>
  <si>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</si>
  <si>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</si>
  <si>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</si>
  <si>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</si>
  <si>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</si>
  <si>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</si>
  <si>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</si>
  <si>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</si>
  <si>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</si>
  <si>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</si>
  <si>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</si>
  <si>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</si>
  <si>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</si>
  <si>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</si>
  <si>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</si>
  <si>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</si>
  <si>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</si>
  <si>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</si>
  <si>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</si>
  <si>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</si>
  <si>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</si>
  <si>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</si>
  <si>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</si>
  <si>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</si>
  <si>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</si>
  <si>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</si>
  <si>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</si>
  <si>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</si>
  <si>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</si>
  <si>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</si>
  <si>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</si>
  <si>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</si>
  <si>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</si>
  <si>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</si>
  <si>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</si>
  <si>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</si>
  <si>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</si>
  <si>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</si>
  <si>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</si>
  <si>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</si>
  <si>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</si>
  <si>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</si>
  <si>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</si>
  <si>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</si>
  <si>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</si>
  <si>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</si>
  <si>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</si>
  <si>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</si>
  <si>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</si>
  <si>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</si>
  <si>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</si>
  <si>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</si>
  <si>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</si>
  <si>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</si>
  <si>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</si>
  <si>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</si>
  <si>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</si>
  <si>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</si>
  <si>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</si>
  <si>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</si>
  <si>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</si>
  <si>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</si>
  <si>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</si>
  <si>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</si>
  <si>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</si>
  <si>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</si>
  <si>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</si>
  <si>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</si>
  <si>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</si>
  <si>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</si>
  <si>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</si>
  <si>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</si>
  <si>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</si>
  <si>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</si>
  <si>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</si>
  <si>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</si>
  <si>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</si>
  <si>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</si>
  <si>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</si>
  <si>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</si>
  <si>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</si>
  <si>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</si>
  <si>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</si>
  <si>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</si>
  <si>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</si>
  <si>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</si>
  <si>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</si>
  <si>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</si>
  <si>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</si>
  <si>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</si>
  <si>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</si>
  <si>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</si>
  <si>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</si>
  <si>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</si>
  <si>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</si>
  <si>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</si>
  <si>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</si>
  <si>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</si>
  <si>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</si>
  <si>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</si>
  <si>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</si>
  <si>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</si>
  <si>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</si>
  <si>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</si>
  <si>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</si>
  <si>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</si>
  <si>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</si>
  <si>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</si>
  <si>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</si>
  <si>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</si>
  <si>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</si>
  <si>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</si>
  <si>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</si>
  <si>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</si>
  <si>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</si>
  <si>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</si>
  <si>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</si>
  <si>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</si>
  <si>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</si>
  <si>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</si>
  <si>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</si>
  <si>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</si>
  <si>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</si>
  <si>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</si>
  <si>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</si>
  <si>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</si>
  <si>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</si>
  <si>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</si>
  <si>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</si>
  <si>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</si>
  <si>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</si>
  <si>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</si>
  <si>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</si>
  <si>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</si>
  <si>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</si>
  <si>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</si>
  <si>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</si>
  <si>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</si>
  <si>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</si>
  <si>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</si>
  <si>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</si>
  <si>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</si>
  <si>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</si>
  <si>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</si>
  <si>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</si>
  <si>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</si>
  <si>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</si>
  <si>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</si>
  <si>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</si>
  <si>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</si>
  <si>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</si>
  <si>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</si>
  <si>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</si>
  <si>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</si>
  <si>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</si>
  <si>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</si>
  <si>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</si>
  <si>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</si>
  <si>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</si>
  <si>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</si>
  <si>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</si>
  <si>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</si>
  <si>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</si>
  <si>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</si>
  <si>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</si>
  <si>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</si>
  <si>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</si>
  <si>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</si>
  <si>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</si>
  <si>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</si>
  <si>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</si>
  <si>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</si>
  <si>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</si>
  <si>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</si>
  <si>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</si>
  <si>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</si>
  <si>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</si>
  <si>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</si>
  <si>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</si>
  <si>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</si>
  <si>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</si>
  <si>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</si>
  <si>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</si>
  <si>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</si>
  <si>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</si>
  <si>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</si>
  <si>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</si>
  <si>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</si>
  <si>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</si>
  <si>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</si>
  <si>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</si>
  <si>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</si>
  <si>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</si>
  <si>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</si>
  <si>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</si>
  <si>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</si>
  <si>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</si>
  <si>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</si>
  <si>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</si>
  <si>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</si>
  <si>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</si>
  <si>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</si>
  <si>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</si>
  <si>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</si>
  <si>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</si>
  <si>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</si>
  <si>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</si>
  <si>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</si>
  <si>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</si>
  <si>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</si>
  <si>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</si>
  <si>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</si>
  <si>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</si>
  <si>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</si>
  <si>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</si>
  <si>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</si>
  <si>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</si>
  <si>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</si>
  <si>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</si>
  <si>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</si>
  <si>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</si>
  <si>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</si>
  <si>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</si>
  <si>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</si>
  <si>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</si>
  <si>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</si>
  <si>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</si>
  <si>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</si>
  <si>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</si>
  <si>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</si>
  <si>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</si>
  <si>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</si>
  <si>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</si>
  <si>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</si>
  <si>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</si>
  <si>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</si>
  <si>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</si>
  <si>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</si>
  <si>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</si>
  <si>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</si>
  <si>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</si>
  <si>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</si>
  <si>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</si>
  <si>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</si>
  <si>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</si>
  <si>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</si>
  <si>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</si>
  <si>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</si>
  <si>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</si>
  <si>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</si>
  <si>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</si>
  <si>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</si>
  <si>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</si>
  <si>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</si>
  <si>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</si>
  <si>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</si>
  <si>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</si>
  <si>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</si>
  <si>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</si>
  <si>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</si>
  <si>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</si>
  <si>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</si>
  <si>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</si>
  <si>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</si>
  <si>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</si>
  <si>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</si>
  <si>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</si>
  <si>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</si>
  <si>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</si>
  <si>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</si>
  <si>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</si>
  <si>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</si>
  <si>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</si>
  <si>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</si>
  <si>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</si>
  <si>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</si>
  <si>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</si>
  <si>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</si>
  <si>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</si>
  <si>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</si>
  <si>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</si>
  <si>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</si>
  <si>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</si>
  <si>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</si>
  <si>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</si>
  <si>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</si>
  <si>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</si>
  <si>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</si>
  <si>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</si>
  <si>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</si>
  <si>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</si>
  <si>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</si>
  <si>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</si>
  <si>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</si>
  <si>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</si>
  <si>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</si>
  <si>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</si>
  <si>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</si>
  <si>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</si>
  <si>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</si>
  <si>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</si>
  <si>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</si>
  <si>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</si>
  <si>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</si>
  <si>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</si>
  <si>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</si>
  <si>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</si>
  <si>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</si>
  <si>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</si>
  <si>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</si>
  <si>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</si>
  <si>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</si>
  <si>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</si>
  <si>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</si>
  <si>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</si>
  <si>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</si>
  <si>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</si>
  <si>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</si>
  <si>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</si>
  <si>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</si>
  <si>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</si>
  <si>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</si>
  <si>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</si>
  <si>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</si>
  <si>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</si>
  <si>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</si>
  <si>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</si>
  <si>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</si>
  <si>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</si>
  <si>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</si>
  <si>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</si>
  <si>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</si>
  <si>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</si>
  <si>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</si>
  <si>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</si>
  <si>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</si>
  <si>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</si>
  <si>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</si>
  <si>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</si>
  <si>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</si>
  <si>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</si>
  <si>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</si>
  <si>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</si>
  <si>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</si>
  <si>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</si>
  <si>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</si>
  <si>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</si>
  <si>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</si>
  <si>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</si>
  <si>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</si>
  <si>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</si>
  <si>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</si>
  <si>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</si>
  <si>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</si>
  <si>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</si>
  <si>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</si>
  <si>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</si>
  <si>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</si>
  <si>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</si>
  <si>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</si>
  <si>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</si>
  <si>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</si>
  <si>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</si>
  <si>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</si>
  <si>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</si>
  <si>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</si>
  <si>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</si>
  <si>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</si>
  <si>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</si>
  <si>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</si>
  <si>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</si>
  <si>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</si>
  <si>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</si>
  <si>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</si>
  <si>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</si>
  <si>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</si>
  <si>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</si>
  <si>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</si>
  <si>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</si>
  <si>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</si>
  <si>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</si>
  <si>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</si>
  <si>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</si>
  <si>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</si>
  <si>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</si>
  <si>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</si>
  <si>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</si>
  <si>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</si>
  <si>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</si>
  <si>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</si>
  <si>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</si>
  <si>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</si>
  <si>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</si>
  <si>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</si>
  <si>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</si>
  <si>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</si>
  <si>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</si>
  <si>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</si>
  <si>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</si>
  <si>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</si>
  <si>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</si>
  <si>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</si>
  <si>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</si>
  <si>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</si>
  <si>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</si>
  <si>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</si>
  <si>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</si>
  <si>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</si>
  <si>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</si>
  <si>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</si>
  <si>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</si>
  <si>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</si>
  <si>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</si>
  <si>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</si>
  <si>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</si>
  <si>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</si>
  <si>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</si>
  <si>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</si>
  <si>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</si>
  <si>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</si>
  <si>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</si>
  <si>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</si>
  <si>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</si>
  <si>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</si>
  <si>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</si>
  <si>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</si>
  <si>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</si>
  <si>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</si>
  <si>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</si>
  <si>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</si>
  <si>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</si>
  <si>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</si>
  <si>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</si>
  <si>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</si>
  <si>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</si>
  <si>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</si>
  <si>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</si>
  <si>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</si>
  <si>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</si>
  <si>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</si>
  <si>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</si>
  <si>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</si>
  <si>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</si>
  <si>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</si>
  <si>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</si>
  <si>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</si>
  <si>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</si>
  <si>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</si>
  <si>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</si>
  <si>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</si>
  <si>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</si>
  <si>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</si>
  <si>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</si>
  <si>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</si>
  <si>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</si>
  <si>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</si>
  <si>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</si>
  <si>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</si>
  <si>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</si>
  <si>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</si>
  <si>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</si>
  <si>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</si>
  <si>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</si>
  <si>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</si>
  <si>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</si>
  <si>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</si>
  <si>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</si>
  <si>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</si>
  <si>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</si>
  <si>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</si>
  <si>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</si>
  <si>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</si>
  <si>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</si>
  <si>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</si>
  <si>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</si>
  <si>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</si>
  <si>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</si>
  <si>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</si>
  <si>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</si>
  <si>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</si>
  <si>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</si>
  <si>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</si>
  <si>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</si>
  <si>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</si>
  <si>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</si>
  <si>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</si>
  <si>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</si>
  <si>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</si>
  <si>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</si>
  <si>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</si>
  <si>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</si>
  <si>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</si>
  <si>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</si>
  <si>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</si>
  <si>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</si>
  <si>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</si>
  <si>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</si>
  <si>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</si>
  <si>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</si>
  <si>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</si>
  <si>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</si>
  <si>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</si>
  <si>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</si>
  <si>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</si>
  <si>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</si>
  <si>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</si>
  <si>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</si>
  <si>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</si>
  <si>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</si>
  <si>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</si>
  <si>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</si>
  <si>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</si>
  <si>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</si>
  <si>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</si>
  <si>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</si>
  <si>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</si>
  <si>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</si>
  <si>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12021</t>
  </si>
  <si>
    <t>LIER</t>
  </si>
  <si>
    <t>Paarden&amp;pony's 200 - 600 kg</t>
  </si>
  <si>
    <t>Paarden&amp;pony's &lt; 200 kg</t>
  </si>
  <si>
    <t>referentietaak LNE (2017); Jaarverslag De Lijn (2014)</t>
  </si>
  <si>
    <t>op basis van VEA (maart 2018) en Inventaris Hernieuwbare Energiebronnen (juni 2018)</t>
  </si>
  <si>
    <t>VEA (maart 2016)</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</si>
  <si>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</si>
  <si>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</si>
  <si>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</si>
  <si>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</si>
  <si>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</si>
  <si>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</si>
  <si>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</si>
  <si>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</si>
  <si>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</si>
  <si>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</si>
  <si>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</si>
  <si>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</si>
  <si>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</si>
  <si>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</si>
  <si>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De Becker Elektrogroep</t>
  </si>
  <si>
    <t>Z.4 Broekooi 300, 1730 Asse</t>
  </si>
  <si>
    <t>WKK-0157 Alex Baelus</t>
  </si>
  <si>
    <t>Bremstraat 35, 2500 Lier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</si>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</sst>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222825.02855132369</c:v>
                </c:pt>
                <c:pt idx="1">
                  <c:v>141555.83593171139</c:v>
                </c:pt>
                <c:pt idx="2">
                  <c:v>2316.6469999999999</c:v>
                </c:pt>
                <c:pt idx="3">
                  <c:v>101998.59027602161</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222825.02855132369</c:v>
                </c:pt>
                <c:pt idx="1">
                  <c:v>141555.83593171139</c:v>
                </c:pt>
                <c:pt idx="2">
                  <c:v>2316.6469999999999</c:v>
                </c:pt>
                <c:pt idx="3">
                  <c:v>101998.59027602161</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42264.999855455899</c:v>
                </c:pt>
                <c:pt idx="1">
                  <c:v>27930.320647908506</c:v>
                </c:pt>
                <c:pt idx="2">
                  <c:v>428.7859333409283</c:v>
                </c:pt>
                <c:pt idx="3">
                  <c:v>19135.688046128864</c:v>
                </c:pt>
                <c:pt idx="4">
                  <c:v>22087.293554292144</c:v>
                </c:pt>
                <c:pt idx="5">
                  <c:v>43037.127552155609</c:v>
                </c:pt>
                <c:pt idx="6">
                  <c:v>1219.8732655825784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87200"/>
      </c:barChart>
      <c:catAx>
        <c:axId val="177269376"/>
        <c:scaling>
          <c:orientation val="minMax"/>
        </c:scaling>
        <c:axPos val="b"/>
        <c:numFmt formatCode="General" sourceLinked="0"/>
        <c:tickLblPos val="nextTo"/>
        <c:crossAx val="183587200"/>
        <c:crosses val="autoZero"/>
        <c:auto val="1"/>
        <c:lblAlgn val="ctr"/>
        <c:lblOffset val="100"/>
      </c:catAx>
      <c:valAx>
        <c:axId val="183587200"/>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42264.999855455899</c:v>
                </c:pt>
                <c:pt idx="1">
                  <c:v>27930.320647908506</c:v>
                </c:pt>
                <c:pt idx="2">
                  <c:v>428.7859333409283</c:v>
                </c:pt>
                <c:pt idx="3">
                  <c:v>19135.688046128864</c:v>
                </c:pt>
                <c:pt idx="4">
                  <c:v>22087.293554292144</c:v>
                </c:pt>
                <c:pt idx="5">
                  <c:v>43037.127552155609</c:v>
                </c:pt>
                <c:pt idx="6">
                  <c:v>1219.8732655825784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12021</v>
      </c>
      <c r="B6" s="416"/>
      <c r="C6" s="417"/>
    </row>
    <row r="7" spans="1:7" s="414" customFormat="1" ht="15.75" customHeight="1">
      <c r="A7" s="418" t="str">
        <f>txtMunicipality</f>
        <v>LIER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15151</v>
      </c>
      <c r="C9" s="342">
        <v>15752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2044</v>
      </c>
    </row>
    <row r="15" spans="1:6">
      <c r="A15" s="348" t="s">
        <v>184</v>
      </c>
      <c r="B15" s="334">
        <v>594</v>
      </c>
    </row>
    <row r="16" spans="1:6">
      <c r="A16" s="348" t="s">
        <v>6</v>
      </c>
      <c r="B16" s="334">
        <v>821</v>
      </c>
    </row>
    <row r="17" spans="1:6">
      <c r="A17" s="348" t="s">
        <v>7</v>
      </c>
      <c r="B17" s="334">
        <v>287</v>
      </c>
    </row>
    <row r="18" spans="1:6">
      <c r="A18" s="348" t="s">
        <v>8</v>
      </c>
      <c r="B18" s="334">
        <v>774</v>
      </c>
    </row>
    <row r="19" spans="1:6">
      <c r="A19" s="348" t="s">
        <v>9</v>
      </c>
      <c r="B19" s="334">
        <v>1053</v>
      </c>
    </row>
    <row r="20" spans="1:6">
      <c r="A20" s="348" t="s">
        <v>10</v>
      </c>
      <c r="B20" s="334">
        <v>488</v>
      </c>
    </row>
    <row r="21" spans="1:6">
      <c r="A21" s="348" t="s">
        <v>11</v>
      </c>
      <c r="B21" s="334">
        <v>131</v>
      </c>
    </row>
    <row r="22" spans="1:6">
      <c r="A22" s="348" t="s">
        <v>12</v>
      </c>
      <c r="B22" s="334">
        <v>357</v>
      </c>
    </row>
    <row r="23" spans="1:6">
      <c r="A23" s="348" t="s">
        <v>13</v>
      </c>
      <c r="B23" s="334">
        <v>0</v>
      </c>
    </row>
    <row r="24" spans="1:6">
      <c r="A24" s="348" t="s">
        <v>14</v>
      </c>
      <c r="B24" s="334">
        <v>1</v>
      </c>
    </row>
    <row r="25" spans="1:6">
      <c r="A25" s="348" t="s">
        <v>15</v>
      </c>
      <c r="B25" s="334">
        <v>55</v>
      </c>
    </row>
    <row r="26" spans="1:6">
      <c r="A26" s="348" t="s">
        <v>16</v>
      </c>
      <c r="B26" s="334">
        <v>520</v>
      </c>
    </row>
    <row r="27" spans="1:6">
      <c r="A27" s="348" t="s">
        <v>17</v>
      </c>
      <c r="B27" s="334">
        <v>13</v>
      </c>
    </row>
    <row r="28" spans="1:6" s="356" customFormat="1">
      <c r="A28" s="355" t="s">
        <v>18</v>
      </c>
      <c r="B28" s="355">
        <v>82</v>
      </c>
    </row>
    <row r="29" spans="1:6">
      <c r="A29" s="355" t="s">
        <v>828</v>
      </c>
      <c r="B29" s="355">
        <v>410</v>
      </c>
      <c r="C29" s="356"/>
      <c r="D29" s="356"/>
      <c r="E29" s="356"/>
      <c r="F29" s="356"/>
    </row>
    <row r="30" spans="1:6">
      <c r="A30" s="341" t="s">
        <v>829</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97</v>
      </c>
      <c r="D36" s="334">
        <v>3582385.1865896801</v>
      </c>
      <c r="E36" s="334">
        <v>31</v>
      </c>
      <c r="F36" s="334">
        <v>77264.59</v>
      </c>
    </row>
    <row r="37" spans="1:6">
      <c r="A37" s="348" t="s">
        <v>25</v>
      </c>
      <c r="B37" s="348" t="s">
        <v>28</v>
      </c>
      <c r="C37" s="334">
        <v>0</v>
      </c>
      <c r="D37" s="334">
        <v>0</v>
      </c>
      <c r="E37" s="334">
        <v>0</v>
      </c>
      <c r="F37" s="334">
        <v>0</v>
      </c>
    </row>
    <row r="38" spans="1:6">
      <c r="A38" s="348" t="s">
        <v>25</v>
      </c>
      <c r="B38" s="348" t="s">
        <v>29</v>
      </c>
      <c r="C38" s="334">
        <v>2</v>
      </c>
      <c r="D38" s="334">
        <v>31099589.196141601</v>
      </c>
      <c r="E38" s="334">
        <v>3</v>
      </c>
      <c r="F38" s="334">
        <v>195974.2</v>
      </c>
    </row>
    <row r="39" spans="1:6">
      <c r="A39" s="348" t="s">
        <v>30</v>
      </c>
      <c r="B39" s="348" t="s">
        <v>31</v>
      </c>
      <c r="C39" s="334">
        <v>12122</v>
      </c>
      <c r="D39" s="334">
        <v>167256897.03697801</v>
      </c>
      <c r="E39" s="334">
        <v>15295</v>
      </c>
      <c r="F39" s="334">
        <v>56712066</v>
      </c>
    </row>
    <row r="40" spans="1:6">
      <c r="A40" s="348" t="s">
        <v>30</v>
      </c>
      <c r="B40" s="348" t="s">
        <v>29</v>
      </c>
      <c r="C40" s="334">
        <v>0</v>
      </c>
      <c r="D40" s="334">
        <v>0</v>
      </c>
      <c r="E40" s="334">
        <v>0</v>
      </c>
      <c r="F40" s="334">
        <v>0</v>
      </c>
    </row>
    <row r="41" spans="1:6">
      <c r="A41" s="348" t="s">
        <v>32</v>
      </c>
      <c r="B41" s="348" t="s">
        <v>33</v>
      </c>
      <c r="C41" s="334">
        <v>153</v>
      </c>
      <c r="D41" s="334">
        <v>2854403.1610733401</v>
      </c>
      <c r="E41" s="334">
        <v>293</v>
      </c>
      <c r="F41" s="334">
        <v>3773628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4230172.4852346797</v>
      </c>
      <c r="E44" s="334">
        <v>38</v>
      </c>
      <c r="F44" s="334">
        <v>31532721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392319.25128677802</v>
      </c>
      <c r="E47" s="334">
        <v>13</v>
      </c>
      <c r="F47" s="334">
        <v>3956071</v>
      </c>
    </row>
    <row r="48" spans="1:6">
      <c r="A48" s="348" t="s">
        <v>32</v>
      </c>
      <c r="B48" s="348" t="s">
        <v>29</v>
      </c>
      <c r="C48" s="334">
        <v>31</v>
      </c>
      <c r="D48" s="334">
        <v>33952749.583596699</v>
      </c>
      <c r="E48" s="334">
        <v>51</v>
      </c>
      <c r="F48" s="334">
        <v>9232495</v>
      </c>
    </row>
    <row r="49" spans="1:6">
      <c r="A49" s="348" t="s">
        <v>32</v>
      </c>
      <c r="B49" s="348" t="s">
        <v>40</v>
      </c>
      <c r="C49" s="334">
        <v>3</v>
      </c>
      <c r="D49" s="334">
        <v>146627.53232359301</v>
      </c>
      <c r="E49" s="334">
        <v>0</v>
      </c>
      <c r="F49" s="334">
        <v>0</v>
      </c>
    </row>
    <row r="50" spans="1:6">
      <c r="A50" s="348" t="s">
        <v>32</v>
      </c>
      <c r="B50" s="348" t="s">
        <v>41</v>
      </c>
      <c r="C50" s="334">
        <v>21</v>
      </c>
      <c r="D50" s="334">
        <v>1422600.0718743899</v>
      </c>
      <c r="E50" s="334">
        <v>31</v>
      </c>
      <c r="F50" s="334">
        <v>1034500</v>
      </c>
    </row>
    <row r="51" spans="1:6">
      <c r="A51" s="348" t="s">
        <v>42</v>
      </c>
      <c r="B51" s="348" t="s">
        <v>43</v>
      </c>
      <c r="C51" s="334">
        <v>30</v>
      </c>
      <c r="D51" s="334">
        <v>142714975.09384599</v>
      </c>
      <c r="E51" s="334">
        <v>114</v>
      </c>
      <c r="F51" s="334">
        <v>4110401</v>
      </c>
    </row>
    <row r="52" spans="1:6">
      <c r="A52" s="348" t="s">
        <v>42</v>
      </c>
      <c r="B52" s="348" t="s">
        <v>29</v>
      </c>
      <c r="C52" s="334">
        <v>5</v>
      </c>
      <c r="D52" s="334">
        <v>245349.23243681301</v>
      </c>
      <c r="E52" s="334">
        <v>8</v>
      </c>
      <c r="F52" s="334">
        <v>134815.4</v>
      </c>
    </row>
    <row r="53" spans="1:6">
      <c r="A53" s="348" t="s">
        <v>44</v>
      </c>
      <c r="B53" s="348" t="s">
        <v>45</v>
      </c>
      <c r="C53" s="334">
        <v>362</v>
      </c>
      <c r="D53" s="334">
        <v>7725142.5618515396</v>
      </c>
      <c r="E53" s="334">
        <v>722</v>
      </c>
      <c r="F53" s="334">
        <v>2178972</v>
      </c>
    </row>
    <row r="54" spans="1:6">
      <c r="A54" s="348" t="s">
        <v>46</v>
      </c>
      <c r="B54" s="348" t="s">
        <v>47</v>
      </c>
      <c r="C54" s="334">
        <v>0</v>
      </c>
      <c r="D54" s="334">
        <v>0</v>
      </c>
      <c r="E54" s="334">
        <v>2</v>
      </c>
      <c r="F54" s="334">
        <v>2316647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124</v>
      </c>
      <c r="D57" s="334">
        <v>5451213.8372029504</v>
      </c>
      <c r="E57" s="334">
        <v>207</v>
      </c>
      <c r="F57" s="334">
        <v>7040129</v>
      </c>
    </row>
    <row r="58" spans="1:6">
      <c r="A58" s="348" t="s">
        <v>49</v>
      </c>
      <c r="B58" s="348" t="s">
        <v>51</v>
      </c>
      <c r="C58" s="334">
        <v>106</v>
      </c>
      <c r="D58" s="334">
        <v>8352906.1440099301</v>
      </c>
      <c r="E58" s="334">
        <v>133</v>
      </c>
      <c r="F58" s="334">
        <v>7685037</v>
      </c>
    </row>
    <row r="59" spans="1:6">
      <c r="A59" s="348" t="s">
        <v>49</v>
      </c>
      <c r="B59" s="348" t="s">
        <v>52</v>
      </c>
      <c r="C59" s="334">
        <v>323</v>
      </c>
      <c r="D59" s="334">
        <v>12695053.7538797</v>
      </c>
      <c r="E59" s="334">
        <v>554</v>
      </c>
      <c r="F59" s="334">
        <v>21082914</v>
      </c>
    </row>
    <row r="60" spans="1:6">
      <c r="A60" s="348" t="s">
        <v>49</v>
      </c>
      <c r="B60" s="348" t="s">
        <v>53</v>
      </c>
      <c r="C60" s="334">
        <v>158</v>
      </c>
      <c r="D60" s="334">
        <v>8656650.4521103594</v>
      </c>
      <c r="E60" s="334">
        <v>196</v>
      </c>
      <c r="F60" s="334">
        <v>6660618</v>
      </c>
    </row>
    <row r="61" spans="1:6">
      <c r="A61" s="348" t="s">
        <v>49</v>
      </c>
      <c r="B61" s="348" t="s">
        <v>54</v>
      </c>
      <c r="C61" s="334">
        <v>370</v>
      </c>
      <c r="D61" s="334">
        <v>17367659.999211598</v>
      </c>
      <c r="E61" s="334">
        <v>903</v>
      </c>
      <c r="F61" s="334">
        <v>16366222</v>
      </c>
    </row>
    <row r="62" spans="1:6">
      <c r="A62" s="348" t="s">
        <v>49</v>
      </c>
      <c r="B62" s="348" t="s">
        <v>55</v>
      </c>
      <c r="C62" s="334">
        <v>22</v>
      </c>
      <c r="D62" s="334">
        <v>3116037.7038732902</v>
      </c>
      <c r="E62" s="334">
        <v>34</v>
      </c>
      <c r="F62" s="334">
        <v>1652483</v>
      </c>
    </row>
    <row r="63" spans="1:6">
      <c r="A63" s="348" t="s">
        <v>49</v>
      </c>
      <c r="B63" s="348" t="s">
        <v>29</v>
      </c>
      <c r="C63" s="334">
        <v>101</v>
      </c>
      <c r="D63" s="334">
        <v>8395330.8003400601</v>
      </c>
      <c r="E63" s="334">
        <v>82</v>
      </c>
      <c r="F63" s="334">
        <v>3438188</v>
      </c>
    </row>
    <row r="64" spans="1:6">
      <c r="A64" s="348" t="s">
        <v>56</v>
      </c>
      <c r="B64" s="348" t="s">
        <v>57</v>
      </c>
      <c r="C64" s="334">
        <v>0</v>
      </c>
      <c r="D64" s="334">
        <v>0</v>
      </c>
      <c r="E64" s="334">
        <v>0</v>
      </c>
      <c r="F64" s="334">
        <v>0</v>
      </c>
    </row>
    <row r="65" spans="1:6">
      <c r="A65" s="348" t="s">
        <v>56</v>
      </c>
      <c r="B65" s="348" t="s">
        <v>29</v>
      </c>
      <c r="C65" s="334">
        <v>3</v>
      </c>
      <c r="D65" s="334">
        <v>169235.254467714</v>
      </c>
      <c r="E65" s="334">
        <v>2</v>
      </c>
      <c r="F65" s="334">
        <v>54302.98</v>
      </c>
    </row>
    <row r="66" spans="1:6">
      <c r="A66" s="348" t="s">
        <v>56</v>
      </c>
      <c r="B66" s="348" t="s">
        <v>58</v>
      </c>
      <c r="C66" s="334">
        <v>0</v>
      </c>
      <c r="D66" s="334">
        <v>0</v>
      </c>
      <c r="E66" s="334">
        <v>10</v>
      </c>
      <c r="F66" s="334">
        <v>412734</v>
      </c>
    </row>
    <row r="67" spans="1:6">
      <c r="A67" s="355" t="s">
        <v>56</v>
      </c>
      <c r="B67" s="355" t="s">
        <v>59</v>
      </c>
      <c r="C67" s="334">
        <v>0</v>
      </c>
      <c r="D67" s="334">
        <v>0</v>
      </c>
      <c r="E67" s="334">
        <v>0</v>
      </c>
      <c r="F67" s="334">
        <v>0</v>
      </c>
    </row>
    <row r="68" spans="1:6">
      <c r="A68" s="341" t="s">
        <v>56</v>
      </c>
      <c r="B68" s="341" t="s">
        <v>60</v>
      </c>
      <c r="C68" s="334">
        <v>24</v>
      </c>
      <c r="D68" s="334">
        <v>570004.52269800904</v>
      </c>
      <c r="E68" s="334">
        <v>34</v>
      </c>
      <c r="F68" s="334">
        <v>598290.30000000005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170949682</v>
      </c>
      <c r="E73" s="477">
        <v>153540986.88066113</v>
      </c>
    </row>
    <row r="74" spans="1:6">
      <c r="A74" s="348" t="s">
        <v>64</v>
      </c>
      <c r="B74" s="348" t="s">
        <v>714</v>
      </c>
      <c r="C74" s="1229" t="s">
        <v>716</v>
      </c>
      <c r="D74" s="477">
        <v>20383169.873725556</v>
      </c>
      <c r="E74" s="477">
        <v>18663673.341885686</v>
      </c>
    </row>
    <row r="75" spans="1:6">
      <c r="A75" s="348" t="s">
        <v>65</v>
      </c>
      <c r="B75" s="348" t="s">
        <v>713</v>
      </c>
      <c r="C75" s="1229" t="s">
        <v>717</v>
      </c>
      <c r="D75" s="477">
        <v>16105972</v>
      </c>
      <c r="E75" s="477">
        <v>13585865.585800745</v>
      </c>
    </row>
    <row r="76" spans="1:6">
      <c r="A76" s="348" t="s">
        <v>65</v>
      </c>
      <c r="B76" s="348" t="s">
        <v>714</v>
      </c>
      <c r="C76" s="1229" t="s">
        <v>718</v>
      </c>
      <c r="D76" s="477">
        <v>518778.87372555526</v>
      </c>
      <c r="E76" s="477">
        <v>398520.38017615129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1290520.2525488895</v>
      </c>
      <c r="C83" s="477">
        <v>1275898.550334669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3283.6874769289338</v>
      </c>
    </row>
    <row r="92" spans="1:6">
      <c r="A92" s="341" t="s">
        <v>69</v>
      </c>
      <c r="B92" s="342">
        <v>6247.2836055601492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2</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190560.75951295043</v>
      </c>
      <c r="C3" s="43" t="s">
        <v>170</v>
      </c>
      <c r="D3" s="43"/>
      <c r="E3" s="154"/>
      <c r="F3" s="43"/>
      <c r="G3" s="43"/>
      <c r="H3" s="43"/>
      <c r="I3" s="43"/>
      <c r="J3" s="43"/>
      <c r="K3" s="96"/>
    </row>
    <row r="4" spans="1:11">
      <c r="A4" s="384" t="s">
        <v>171</v>
      </c>
      <c r="B4" s="49">
        <f>IF(ISERROR('SEAP template'!B69),0,'SEAP template'!B69)</f>
        <v>87085.471082489079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12402.666343105449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0.18508902450003314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17050.496871180272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92945.785714285696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0.18344561552896341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2316.6469999999999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2316.6469999999999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0.18508902450003314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428.7859333409283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56712.065999999999</v>
      </c>
      <c r="C5" s="17">
        <f>IF(ISERROR('Eigen informatie GS &amp; warmtenet'!B57),0,'Eigen informatie GS &amp; warmtenet'!B57)</f>
        <v>0</v>
      </c>
      <c r="D5" s="30">
        <f>(SUM(HH_hh_gas_kWh,HH_rest_gas_kWh)/1000)*0.902</f>
        <v>150865.72112735416</v>
      </c>
      <c r="E5" s="17">
        <f>B46*B57</f>
        <v>2784.2577054859557</v>
      </c>
      <c r="F5" s="17">
        <f>B51*B62</f>
        <v>0</v>
      </c>
      <c r="G5" s="18"/>
      <c r="H5" s="17"/>
      <c r="I5" s="17"/>
      <c r="J5" s="17">
        <f>B50*B61+C50*C61</f>
        <v>151.24916213499145</v>
      </c>
      <c r="K5" s="17"/>
      <c r="L5" s="17"/>
      <c r="M5" s="17"/>
      <c r="N5" s="17">
        <f>B48*B59+C48*C59</f>
        <v>8060.8904127529659</v>
      </c>
      <c r="O5" s="17">
        <f>B69*B70*B71</f>
        <v>223.55666666666667</v>
      </c>
      <c r="P5" s="17">
        <f>B77*B78*B79/1000-B77*B78*B79/1000/B80</f>
        <v>743.6</v>
      </c>
    </row>
    <row r="6" spans="1:16">
      <c r="A6" s="16" t="s">
        <v>631</v>
      </c>
      <c r="B6" s="844">
        <f>kWh_PV_kleiner_dan_10kW</f>
        <v>3283.6874769289338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59995.753476928934</v>
      </c>
      <c r="C8" s="21">
        <f>C5</f>
        <v>0</v>
      </c>
      <c r="D8" s="21">
        <f>D5</f>
        <v>150865.72112735416</v>
      </c>
      <c r="E8" s="21">
        <f>E5</f>
        <v>2784.2577054859557</v>
      </c>
      <c r="F8" s="21">
        <f>F5</f>
        <v>0</v>
      </c>
      <c r="G8" s="21"/>
      <c r="H8" s="21"/>
      <c r="I8" s="21"/>
      <c r="J8" s="21">
        <f>J5</f>
        <v>151.24916213499145</v>
      </c>
      <c r="K8" s="21"/>
      <c r="L8" s="21">
        <f>L5</f>
        <v>0</v>
      </c>
      <c r="M8" s="21">
        <f>M5</f>
        <v>0</v>
      </c>
      <c r="N8" s="21">
        <f>N5</f>
        <v>8060.8904127529659</v>
      </c>
      <c r="O8" s="21">
        <f>O5</f>
        <v>223.55666666666667</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0.18508902450003314</v>
      </c>
      <c r="C10" s="25">
        <f ca="1">'EF ele_warmte'!B22</f>
        <v>0.18344561552896341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11104.555485189248</v>
      </c>
      <c r="C12" s="23">
        <f ca="1">C10*C8</f>
        <v>0</v>
      </c>
      <c r="D12" s="23">
        <f>D8*D10</f>
        <v>30474.875667725544</v>
      </c>
      <c r="E12" s="23">
        <f>E10*E8</f>
        <v>632.02649914531196</v>
      </c>
      <c r="F12" s="23">
        <f>F10*F8</f>
        <v>0</v>
      </c>
      <c r="G12" s="23"/>
      <c r="H12" s="23"/>
      <c r="I12" s="23"/>
      <c r="J12" s="23">
        <f>J10*J8</f>
        <v>53.54220339578697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15151</v>
      </c>
      <c r="C28" s="36"/>
      <c r="D28" s="228"/>
    </row>
    <row r="29" spans="1:7" s="15" customFormat="1">
      <c r="A29" s="230" t="s">
        <v>741</v>
      </c>
      <c r="B29" s="37">
        <f>SUM(HH_hh_gas_aantal,HH_rest_gas_aantal)</f>
        <v>12122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12122</v>
      </c>
      <c r="C32" s="167">
        <f>IF(ISERROR(B32/SUM($B$32,$B$34,$B$35,$B$36,$B$38,$B$39)*100),0,B32/SUM($B$32,$B$34,$B$35,$B$36,$B$38,$B$39)*100)</f>
        <v>80.214399152991007</v>
      </c>
      <c r="D32" s="233"/>
      <c r="G32" s="15"/>
    </row>
    <row r="33" spans="1:7">
      <c r="A33" s="171" t="s">
        <v>72</v>
      </c>
      <c r="B33" s="34" t="s">
        <v>111</v>
      </c>
      <c r="C33" s="167"/>
      <c r="D33" s="233"/>
      <c r="G33" s="15"/>
    </row>
    <row r="34" spans="1:7">
      <c r="A34" s="171" t="s">
        <v>73</v>
      </c>
      <c r="B34" s="33">
        <f>IF((($B$28-$B$32-$B$39-$B$77-$B$38)*C20/100)&lt;0,0,($B$28-$B$32-$B$39-$B$77-$B$38)*C20/100)</f>
        <v>186.60624999999999</v>
      </c>
      <c r="C34" s="167">
        <f>IF(ISERROR(B34/SUM($B$32,$B$34,$B$35,$B$36,$B$38,$B$39)*100),0,B34/SUM($B$32,$B$34,$B$35,$B$36,$B$38,$B$39)*100)</f>
        <v>1.2348216649020647</v>
      </c>
      <c r="D34" s="233"/>
      <c r="G34" s="15"/>
    </row>
    <row r="35" spans="1:7">
      <c r="A35" s="171" t="s">
        <v>74</v>
      </c>
      <c r="B35" s="33">
        <f>IF((($B$28-$B$32-$B$39-$B$77-$B$38)*C21/100)&lt;0,0,($B$28-$B$32-$B$39-$B$77-$B$38)*C21/100)</f>
        <v>2656.6309139784944</v>
      </c>
      <c r="C35" s="167">
        <f>IF(ISERROR(B35/SUM($B$32,$B$34,$B$35,$B$36,$B$38,$B$39)*100),0,B35/SUM($B$32,$B$34,$B$35,$B$36,$B$38,$B$39)*100)</f>
        <v>17.57961165946595</v>
      </c>
      <c r="D35" s="233"/>
      <c r="G35" s="15"/>
    </row>
    <row r="36" spans="1:7">
      <c r="A36" s="171" t="s">
        <v>75</v>
      </c>
      <c r="B36" s="33">
        <f>IF((($B$28-$B$32-$B$39-$B$77-$B$38)*C22/100)&lt;0,0,($B$28-$B$32-$B$39-$B$77-$B$38)*C22/100)</f>
        <v>142.46283602150538</v>
      </c>
      <c r="C36" s="167">
        <f>IF(ISERROR(B36/SUM($B$32,$B$34,$B$35,$B$36,$B$38,$B$39)*100),0,B36/SUM($B$32,$B$34,$B$35,$B$36,$B$38,$B$39)*100)</f>
        <v>0.94271331406501724</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2.8454208575965822E-2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12122</v>
      </c>
      <c r="C44" s="34" t="s">
        <v>111</v>
      </c>
      <c r="D44" s="174"/>
    </row>
    <row r="45" spans="1:7">
      <c r="A45" s="171" t="s">
        <v>72</v>
      </c>
      <c r="B45" s="33" t="str">
        <f t="shared" si="0"/>
        <v>-</v>
      </c>
      <c r="C45" s="34" t="s">
        <v>111</v>
      </c>
      <c r="D45" s="174"/>
    </row>
    <row r="46" spans="1:7">
      <c r="A46" s="171" t="s">
        <v>73</v>
      </c>
      <c r="B46" s="33">
        <f t="shared" si="0"/>
        <v>186.60624999999999</v>
      </c>
      <c r="C46" s="34" t="s">
        <v>111</v>
      </c>
      <c r="D46" s="174"/>
    </row>
    <row r="47" spans="1:7">
      <c r="A47" s="171" t="s">
        <v>74</v>
      </c>
      <c r="B47" s="33">
        <f t="shared" si="0"/>
        <v>2656.6309139784944</v>
      </c>
      <c r="C47" s="34" t="s">
        <v>111</v>
      </c>
      <c r="D47" s="174"/>
    </row>
    <row r="48" spans="1:7">
      <c r="A48" s="171" t="s">
        <v>75</v>
      </c>
      <c r="B48" s="33">
        <f t="shared" si="0"/>
        <v>142.46283602150538</v>
      </c>
      <c r="C48" s="33">
        <f>B48*10</f>
        <v>1424.6283602150538</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63925.591</v>
      </c>
      <c r="C5" s="17">
        <f>IF(ISERROR('Eigen informatie GS &amp; warmtenet'!B58),0,'Eigen informatie GS &amp; warmtenet'!B58)</f>
        <v>0</v>
      </c>
      <c r="D5" s="30">
        <f>SUM(D6:D12)</f>
        <v>57759.437126946352</v>
      </c>
      <c r="E5" s="17">
        <f>SUM(E6:E12)</f>
        <v>615.92968745027292</v>
      </c>
      <c r="F5" s="17">
        <f>SUM(F6:F12)</f>
        <v>9458.9181173147408</v>
      </c>
      <c r="G5" s="18"/>
      <c r="H5" s="17"/>
      <c r="I5" s="17"/>
      <c r="J5" s="17">
        <f>SUM(J6:J12)</f>
        <v>0</v>
      </c>
      <c r="K5" s="17"/>
      <c r="L5" s="17"/>
      <c r="M5" s="17"/>
      <c r="N5" s="17">
        <f>SUM(N6:N12)</f>
        <v>5652.6153267350974</v>
      </c>
      <c r="O5" s="17">
        <f>B38*B39*B40</f>
        <v>3.1266666666666669</v>
      </c>
      <c r="P5" s="17">
        <f>B46*B47*B48/1000-B46*B47*B48/1000/B49</f>
        <v>95.333333333333343</v>
      </c>
      <c r="R5" s="32"/>
    </row>
    <row r="6" spans="1:18">
      <c r="A6" s="32" t="s">
        <v>54</v>
      </c>
      <c r="B6" s="37">
        <f>B26</f>
        <v>16366.222</v>
      </c>
      <c r="C6" s="33"/>
      <c r="D6" s="37">
        <f>IF(ISERROR(TER_kantoor_gas_kWh/1000),0,TER_kantoor_gas_kWh/1000)*0.902</f>
        <v>15665.629319288862</v>
      </c>
      <c r="E6" s="33">
        <f>$C$26*'E Balans VL '!I12/100/3.6*1000000</f>
        <v>47.415346399249039</v>
      </c>
      <c r="F6" s="33">
        <f>$C$26*('E Balans VL '!L12+'E Balans VL '!N12)/100/3.6*1000000</f>
        <v>1852.2957545730505</v>
      </c>
      <c r="G6" s="34"/>
      <c r="H6" s="33"/>
      <c r="I6" s="33"/>
      <c r="J6" s="33">
        <f>$C$26*('E Balans VL '!D12+'E Balans VL '!E12)/100/3.6*1000000</f>
        <v>0</v>
      </c>
      <c r="K6" s="33"/>
      <c r="L6" s="33"/>
      <c r="M6" s="33"/>
      <c r="N6" s="33">
        <f>$C$26*'E Balans VL '!Y12/100/3.6*1000000</f>
        <v>163.81382304920331</v>
      </c>
      <c r="O6" s="33"/>
      <c r="P6" s="33"/>
      <c r="R6" s="32"/>
    </row>
    <row r="7" spans="1:18">
      <c r="A7" s="32" t="s">
        <v>53</v>
      </c>
      <c r="B7" s="37">
        <f t="shared" ref="B7:B12" si="0">B27</f>
        <v>6660.6180000000004</v>
      </c>
      <c r="C7" s="33"/>
      <c r="D7" s="37">
        <f>IF(ISERROR(TER_horeca_gas_kWh/1000),0,TER_horeca_gas_kWh/1000)*0.902</f>
        <v>7808.2987078035449</v>
      </c>
      <c r="E7" s="33">
        <f>$C$27*'E Balans VL '!I9/100/3.6*1000000</f>
        <v>279.59413424110107</v>
      </c>
      <c r="F7" s="33">
        <f>$C$27*('E Balans VL '!L9+'E Balans VL '!N9)/100/3.6*1000000</f>
        <v>1431.1703661364295</v>
      </c>
      <c r="G7" s="34"/>
      <c r="H7" s="33"/>
      <c r="I7" s="33"/>
      <c r="J7" s="33">
        <f>$C$27*('E Balans VL '!D9+'E Balans VL '!E9)/100/3.6*1000000</f>
        <v>0</v>
      </c>
      <c r="K7" s="33"/>
      <c r="L7" s="33"/>
      <c r="M7" s="33"/>
      <c r="N7" s="33">
        <f>$C$27*'E Balans VL '!Y9/100/3.6*1000000</f>
        <v>1.716383009382465</v>
      </c>
      <c r="O7" s="33"/>
      <c r="P7" s="33"/>
      <c r="R7" s="32"/>
    </row>
    <row r="8" spans="1:18">
      <c r="A8" s="6" t="s">
        <v>52</v>
      </c>
      <c r="B8" s="37">
        <f t="shared" si="0"/>
        <v>21082.914000000001</v>
      </c>
      <c r="C8" s="33"/>
      <c r="D8" s="37">
        <f>IF(ISERROR(TER_handel_gas_kWh/1000),0,TER_handel_gas_kWh/1000)*0.902</f>
        <v>11450.93848599949</v>
      </c>
      <c r="E8" s="33">
        <f>$C$28*'E Balans VL '!I13/100/3.6*1000000</f>
        <v>226.44804317052623</v>
      </c>
      <c r="F8" s="33">
        <f>$C$28*('E Balans VL '!L13+'E Balans VL '!N13)/100/3.6*1000000</f>
        <v>2729.3573164147952</v>
      </c>
      <c r="G8" s="34"/>
      <c r="H8" s="33"/>
      <c r="I8" s="33"/>
      <c r="J8" s="33">
        <f>$C$28*('E Balans VL '!D13+'E Balans VL '!E13)/100/3.6*1000000</f>
        <v>0</v>
      </c>
      <c r="K8" s="33"/>
      <c r="L8" s="33"/>
      <c r="M8" s="33"/>
      <c r="N8" s="33">
        <f>$C$28*'E Balans VL '!Y13/100/3.6*1000000</f>
        <v>171.02574954515705</v>
      </c>
      <c r="O8" s="33"/>
      <c r="P8" s="33"/>
      <c r="R8" s="32"/>
    </row>
    <row r="9" spans="1:18">
      <c r="A9" s="32" t="s">
        <v>51</v>
      </c>
      <c r="B9" s="37">
        <f t="shared" si="0"/>
        <v>7685.0370000000003</v>
      </c>
      <c r="C9" s="33"/>
      <c r="D9" s="37">
        <f>IF(ISERROR(TER_gezond_gas_kWh/1000),0,TER_gezond_gas_kWh/1000)*0.902</f>
        <v>7534.3213418969572</v>
      </c>
      <c r="E9" s="33">
        <f>$C$29*'E Balans VL '!I10/100/3.6*1000000</f>
        <v>6.1177865068766675</v>
      </c>
      <c r="F9" s="33">
        <f>$C$29*('E Balans VL '!L10+'E Balans VL '!N10)/100/3.6*1000000</f>
        <v>934.22730613776014</v>
      </c>
      <c r="G9" s="34"/>
      <c r="H9" s="33"/>
      <c r="I9" s="33"/>
      <c r="J9" s="33">
        <f>$C$29*('E Balans VL '!D10+'E Balans VL '!E10)/100/3.6*1000000</f>
        <v>0</v>
      </c>
      <c r="K9" s="33"/>
      <c r="L9" s="33"/>
      <c r="M9" s="33"/>
      <c r="N9" s="33">
        <f>$C$29*'E Balans VL '!Y10/100/3.6*1000000</f>
        <v>62.077692869220705</v>
      </c>
      <c r="O9" s="33"/>
      <c r="P9" s="33"/>
      <c r="R9" s="32"/>
    </row>
    <row r="10" spans="1:18">
      <c r="A10" s="32" t="s">
        <v>50</v>
      </c>
      <c r="B10" s="37">
        <f t="shared" si="0"/>
        <v>7040.1289999999999</v>
      </c>
      <c r="C10" s="33"/>
      <c r="D10" s="37">
        <f>IF(ISERROR(TER_ander_gas_kWh/1000),0,TER_ander_gas_kWh/1000)*0.902</f>
        <v>4916.9948811570612</v>
      </c>
      <c r="E10" s="33">
        <f>$C$30*'E Balans VL '!I14/100/3.6*1000000</f>
        <v>24.126891923969243</v>
      </c>
      <c r="F10" s="33">
        <f>$C$30*('E Balans VL '!L14+'E Balans VL '!N14)/100/3.6*1000000</f>
        <v>1572.4787414563268</v>
      </c>
      <c r="G10" s="34"/>
      <c r="H10" s="33"/>
      <c r="I10" s="33"/>
      <c r="J10" s="33">
        <f>$C$30*('E Balans VL '!D14+'E Balans VL '!E14)/100/3.6*1000000</f>
        <v>0</v>
      </c>
      <c r="K10" s="33"/>
      <c r="L10" s="33"/>
      <c r="M10" s="33"/>
      <c r="N10" s="33">
        <f>$C$30*'E Balans VL '!Y14/100/3.6*1000000</f>
        <v>4959.105327072949</v>
      </c>
      <c r="O10" s="33"/>
      <c r="P10" s="33"/>
      <c r="R10" s="32"/>
    </row>
    <row r="11" spans="1:18">
      <c r="A11" s="32" t="s">
        <v>55</v>
      </c>
      <c r="B11" s="37">
        <f t="shared" si="0"/>
        <v>1652.4829999999999</v>
      </c>
      <c r="C11" s="33"/>
      <c r="D11" s="37">
        <f>IF(ISERROR(TER_onderwijs_gas_kWh/1000),0,TER_onderwijs_gas_kWh/1000)*0.902</f>
        <v>2810.6660088937078</v>
      </c>
      <c r="E11" s="33">
        <f>$C$31*'E Balans VL '!I11/100/3.6*1000000</f>
        <v>1.1423106054289007</v>
      </c>
      <c r="F11" s="33">
        <f>$C$31*('E Balans VL '!L11+'E Balans VL '!N11)/100/3.6*1000000</f>
        <v>432.5720480258214</v>
      </c>
      <c r="G11" s="34"/>
      <c r="H11" s="33"/>
      <c r="I11" s="33"/>
      <c r="J11" s="33">
        <f>$C$31*('E Balans VL '!D11+'E Balans VL '!E11)/100/3.6*1000000</f>
        <v>0</v>
      </c>
      <c r="K11" s="33"/>
      <c r="L11" s="33"/>
      <c r="M11" s="33"/>
      <c r="N11" s="33">
        <f>$C$31*'E Balans VL '!Y11/100/3.6*1000000</f>
        <v>1.6449060789775294</v>
      </c>
      <c r="O11" s="33"/>
      <c r="P11" s="33"/>
      <c r="R11" s="32"/>
    </row>
    <row r="12" spans="1:18">
      <c r="A12" s="32" t="s">
        <v>260</v>
      </c>
      <c r="B12" s="37">
        <f t="shared" si="0"/>
        <v>3438.1880000000001</v>
      </c>
      <c r="C12" s="33"/>
      <c r="D12" s="37">
        <f>IF(ISERROR(TER_rest_gas_kWh/1000),0,TER_rest_gas_kWh/1000)*0.902</f>
        <v>7572.588381906734</v>
      </c>
      <c r="E12" s="33">
        <f>$C$32*'E Balans VL '!I8/100/3.6*1000000</f>
        <v>31.085174603121938</v>
      </c>
      <c r="F12" s="33">
        <f>$C$32*('E Balans VL '!L8+'E Balans VL '!N8)/100/3.6*1000000</f>
        <v>506.81658457055948</v>
      </c>
      <c r="G12" s="34"/>
      <c r="H12" s="33"/>
      <c r="I12" s="33"/>
      <c r="J12" s="33">
        <f>$C$32*('E Balans VL '!D8+'E Balans VL '!E8)/100/3.6*1000000</f>
        <v>0</v>
      </c>
      <c r="K12" s="33"/>
      <c r="L12" s="33"/>
      <c r="M12" s="33"/>
      <c r="N12" s="33">
        <f>$C$32*'E Balans VL '!Y8/100/3.6*1000000</f>
        <v>293.23144511020786</v>
      </c>
      <c r="O12" s="33"/>
      <c r="P12" s="33"/>
      <c r="R12" s="32"/>
    </row>
    <row r="13" spans="1:18">
      <c r="A13" s="16" t="s">
        <v>494</v>
      </c>
      <c r="B13" s="247">
        <f ca="1">'lokale energieproductie'!N90+'lokale energieproductie'!N59</f>
        <v>10522.5</v>
      </c>
      <c r="C13" s="247">
        <f ca="1">'lokale energieproductie'!O90+'lokale energieproductie'!O59</f>
        <v>825</v>
      </c>
      <c r="D13" s="310">
        <f ca="1">('lokale energieproductie'!P59+'lokale energieproductie'!P90)*(-1)</f>
        <v>-1650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-28414.285714285717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74448.091</v>
      </c>
      <c r="C16" s="21">
        <f t="shared" ca="1" si="1"/>
        <v>825</v>
      </c>
      <c r="D16" s="21">
        <f t="shared" ca="1" si="1"/>
        <v>56109.437126946352</v>
      </c>
      <c r="E16" s="21">
        <f t="shared" si="1"/>
        <v>615.92968745027292</v>
      </c>
      <c r="F16" s="21">
        <f t="shared" ca="1" si="1"/>
        <v>9458.9181173147408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0.18508902450003314</v>
      </c>
      <c r="C18" s="25">
        <f ca="1">'EF ele_warmte'!B22</f>
        <v>0.18344561552896341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13779.524539079697</v>
      </c>
      <c r="C20" s="23">
        <f t="shared" ref="C20:P20" ca="1" si="2">C16*C18</f>
        <v>151.34263281139482</v>
      </c>
      <c r="D20" s="23">
        <f t="shared" ca="1" si="2"/>
        <v>11334.106299643165</v>
      </c>
      <c r="E20" s="23">
        <f t="shared" si="2"/>
        <v>139.81603905121196</v>
      </c>
      <c r="F20" s="23">
        <f t="shared" ca="1" si="2"/>
        <v>2525.5311373230361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16366.222</v>
      </c>
      <c r="C26" s="39">
        <f>IF(ISERROR(B26*3.6/1000000/'E Balans VL '!Z12*100),0,B26*3.6/1000000/'E Balans VL '!Z12*100)</f>
        <v>0.35950298747735354</v>
      </c>
      <c r="D26" s="237" t="s">
        <v>692</v>
      </c>
      <c r="F26" s="6"/>
    </row>
    <row r="27" spans="1:18">
      <c r="A27" s="231" t="s">
        <v>53</v>
      </c>
      <c r="B27" s="33">
        <f>IF(ISERROR(TER_horeca_ele_kWh/1000),0,TER_horeca_ele_kWh/1000)</f>
        <v>6660.6180000000004</v>
      </c>
      <c r="C27" s="39">
        <f>IF(ISERROR(B27*3.6/1000000/'E Balans VL '!Z9*100),0,B27*3.6/1000000/'E Balans VL '!Z9*100)</f>
        <v>0.53524705012440676</v>
      </c>
      <c r="D27" s="237" t="s">
        <v>692</v>
      </c>
      <c r="F27" s="6"/>
    </row>
    <row r="28" spans="1:18">
      <c r="A28" s="171" t="s">
        <v>52</v>
      </c>
      <c r="B28" s="33">
        <f>IF(ISERROR(TER_handel_ele_kWh/1000),0,TER_handel_ele_kWh/1000)</f>
        <v>21082.914000000001</v>
      </c>
      <c r="C28" s="39">
        <f>IF(ISERROR(B28*3.6/1000000/'E Balans VL '!Z13*100),0,B28*3.6/1000000/'E Balans VL '!Z13*100)</f>
        <v>0.62340703814702469</v>
      </c>
      <c r="D28" s="237" t="s">
        <v>692</v>
      </c>
      <c r="F28" s="6"/>
    </row>
    <row r="29" spans="1:18">
      <c r="A29" s="231" t="s">
        <v>51</v>
      </c>
      <c r="B29" s="33">
        <f>IF(ISERROR(TER_gezond_ele_kWh/1000),0,TER_gezond_ele_kWh/1000)</f>
        <v>7685.0370000000003</v>
      </c>
      <c r="C29" s="39">
        <f>IF(ISERROR(B29*3.6/1000000/'E Balans VL '!Z10*100),0,B29*3.6/1000000/'E Balans VL '!Z10*100)</f>
        <v>0.86590525973456045</v>
      </c>
      <c r="D29" s="237" t="s">
        <v>692</v>
      </c>
      <c r="F29" s="6"/>
    </row>
    <row r="30" spans="1:18">
      <c r="A30" s="231" t="s">
        <v>50</v>
      </c>
      <c r="B30" s="33">
        <f>IF(ISERROR(TER_ander_ele_kWh/1000),0,TER_ander_ele_kWh/1000)</f>
        <v>7040.1289999999999</v>
      </c>
      <c r="C30" s="39">
        <f>IF(ISERROR(B30*3.6/1000000/'E Balans VL '!Z14*100),0,B30*3.6/1000000/'E Balans VL '!Z14*100)</f>
        <v>0.53243292171307621</v>
      </c>
      <c r="D30" s="237" t="s">
        <v>692</v>
      </c>
      <c r="F30" s="6"/>
    </row>
    <row r="31" spans="1:18">
      <c r="A31" s="231" t="s">
        <v>55</v>
      </c>
      <c r="B31" s="33">
        <f>IF(ISERROR(TER_onderwijs_ele_kWh/1000),0,TER_onderwijs_ele_kWh/1000)</f>
        <v>1652.4829999999999</v>
      </c>
      <c r="C31" s="39">
        <f>IF(ISERROR(B31*3.6/1000000/'E Balans VL '!Z11*100),0,B31*3.6/1000000/'E Balans VL '!Z11*100)</f>
        <v>0.3430171100539981</v>
      </c>
      <c r="D31" s="237" t="s">
        <v>692</v>
      </c>
    </row>
    <row r="32" spans="1:18">
      <c r="A32" s="231" t="s">
        <v>260</v>
      </c>
      <c r="B32" s="33">
        <f>IF(ISERROR(TER_rest_ele_kWh/1000),0,TER_rest_ele_kWh/1000)</f>
        <v>3438.1880000000001</v>
      </c>
      <c r="C32" s="39">
        <f>IF(ISERROR(B32*3.6/1000000/'E Balans VL '!Z8*100),0,B32*3.6/1000000/'E Balans VL '!Z8*100)</f>
        <v>2.896471128249482E-2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49529.415000000001</v>
      </c>
      <c r="C5" s="17">
        <f>IF(ISERROR('Eigen informatie GS &amp; warmtenet'!B59),0,'Eigen informatie GS &amp; warmtenet'!B59)</f>
        <v>0</v>
      </c>
      <c r="D5" s="30">
        <f>SUM(D6:D15)</f>
        <v>38784.982621021307</v>
      </c>
      <c r="E5" s="17">
        <f>SUM(E6:E15)</f>
        <v>2315.1717534963668</v>
      </c>
      <c r="F5" s="17">
        <f>SUM(F6:F15)</f>
        <v>16993.841510416405</v>
      </c>
      <c r="G5" s="18"/>
      <c r="H5" s="17"/>
      <c r="I5" s="17"/>
      <c r="J5" s="17">
        <f>SUM(J6:J15)</f>
        <v>63.492336479307696</v>
      </c>
      <c r="K5" s="17"/>
      <c r="L5" s="17"/>
      <c r="M5" s="17"/>
      <c r="N5" s="17">
        <f>SUM(N6:N15)</f>
        <v>5964.1869699078106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31532.721000000001</v>
      </c>
      <c r="C8" s="33"/>
      <c r="D8" s="37">
        <f>IF( ISERROR(IND_metaal_Gas_kWH/1000),0,IND_metaal_Gas_kWH/1000)*0.902</f>
        <v>3815.6155816816813</v>
      </c>
      <c r="E8" s="33">
        <f>C30*'E Balans VL '!I18/100/3.6*1000000</f>
        <v>789.15364447085517</v>
      </c>
      <c r="F8" s="33">
        <f>C30*'E Balans VL '!L18/100/3.6*1000000+C30*'E Balans VL '!N18/100/3.6*1000000</f>
        <v>9882.5116132208259</v>
      </c>
      <c r="G8" s="34"/>
      <c r="H8" s="33"/>
      <c r="I8" s="33"/>
      <c r="J8" s="40">
        <f>C30*'E Balans VL '!D18/100/3.6*1000000+C30*'E Balans VL '!E18/100/3.6*1000000</f>
        <v>0</v>
      </c>
      <c r="K8" s="33"/>
      <c r="L8" s="33"/>
      <c r="M8" s="33"/>
      <c r="N8" s="33">
        <f>C30*'E Balans VL '!Y18/100/3.6*1000000</f>
        <v>792.18378606702265</v>
      </c>
      <c r="O8" s="33"/>
      <c r="P8" s="33"/>
      <c r="R8" s="32"/>
    </row>
    <row r="9" spans="1:18">
      <c r="A9" s="6" t="s">
        <v>33</v>
      </c>
      <c r="B9" s="37">
        <f t="shared" si="0"/>
        <v>3773.6280000000002</v>
      </c>
      <c r="C9" s="33"/>
      <c r="D9" s="37">
        <f>IF( ISERROR(IND_andere_gas_kWh/1000),0,IND_andere_gas_kWh/1000)*0.902</f>
        <v>2574.6716512881526</v>
      </c>
      <c r="E9" s="33">
        <f>C31*'E Balans VL '!I19/100/3.6*1000000</f>
        <v>1037.5929244377885</v>
      </c>
      <c r="F9" s="33">
        <f>C31*'E Balans VL '!L19/100/3.6*1000000+C31*'E Balans VL '!N19/100/3.6*1000000</f>
        <v>2974.2755224187354</v>
      </c>
      <c r="G9" s="34"/>
      <c r="H9" s="33"/>
      <c r="I9" s="33"/>
      <c r="J9" s="40">
        <f>C31*'E Balans VL '!D19/100/3.6*1000000+C31*'E Balans VL '!E19/100/3.6*1000000</f>
        <v>0</v>
      </c>
      <c r="K9" s="33"/>
      <c r="L9" s="33"/>
      <c r="M9" s="33"/>
      <c r="N9" s="33">
        <f>C31*'E Balans VL '!Y19/100/3.6*1000000</f>
        <v>1221.6229907110312</v>
      </c>
      <c r="O9" s="33"/>
      <c r="P9" s="33"/>
      <c r="R9" s="32"/>
    </row>
    <row r="10" spans="1:18">
      <c r="A10" s="6" t="s">
        <v>41</v>
      </c>
      <c r="B10" s="37">
        <f t="shared" si="0"/>
        <v>1034.5</v>
      </c>
      <c r="C10" s="33"/>
      <c r="D10" s="37">
        <f>IF( ISERROR(IND_voed_gas_kWh/1000),0,IND_voed_gas_kWh/1000)*0.902</f>
        <v>1283.1852648306997</v>
      </c>
      <c r="E10" s="33">
        <f>C32*'E Balans VL '!I20/100/3.6*1000000</f>
        <v>10.546157590698083</v>
      </c>
      <c r="F10" s="33">
        <f>C32*'E Balans VL '!L20/100/3.6*1000000+C32*'E Balans VL '!N20/100/3.6*1000000</f>
        <v>1954.164029827072</v>
      </c>
      <c r="G10" s="34"/>
      <c r="H10" s="33"/>
      <c r="I10" s="33"/>
      <c r="J10" s="40">
        <f>C32*'E Balans VL '!D20/100/3.6*1000000+C32*'E Balans VL '!E20/100/3.6*1000000</f>
        <v>24.758969899324782</v>
      </c>
      <c r="K10" s="33"/>
      <c r="L10" s="33"/>
      <c r="M10" s="33"/>
      <c r="N10" s="33">
        <f>C32*'E Balans VL '!Y20/100/3.6*1000000</f>
        <v>545.30065978820187</v>
      </c>
      <c r="O10" s="33"/>
      <c r="P10" s="33"/>
      <c r="R10" s="32"/>
    </row>
    <row r="11" spans="1:18">
      <c r="A11" s="6" t="s">
        <v>40</v>
      </c>
      <c r="B11" s="37">
        <f t="shared" si="0"/>
        <v>0</v>
      </c>
      <c r="C11" s="33"/>
      <c r="D11" s="37">
        <f>IF( ISERROR(IND_textiel_gas_kWh/1000),0,IND_textiel_gas_kWh/1000)*0.902</f>
        <v>132.25803415588089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3956.0709999999999</v>
      </c>
      <c r="C13" s="33"/>
      <c r="D13" s="37">
        <f>IF( ISERROR(IND_papier_gas_kWh/1000),0,IND_papier_gas_kWh/1000)*0.902</f>
        <v>353.87196466067377</v>
      </c>
      <c r="E13" s="33">
        <f>C35*'E Balans VL '!I23/100/3.6*1000000</f>
        <v>8.1932900693625683</v>
      </c>
      <c r="F13" s="33">
        <f>C35*'E Balans VL '!L23/100/3.6*1000000+C35*'E Balans VL '!N23/100/3.6*1000000</f>
        <v>78.457369072136188</v>
      </c>
      <c r="G13" s="34"/>
      <c r="H13" s="33"/>
      <c r="I13" s="33"/>
      <c r="J13" s="40">
        <f>C35*'E Balans VL '!D23/100/3.6*1000000+C35*'E Balans VL '!E23/100/3.6*1000000</f>
        <v>0</v>
      </c>
      <c r="K13" s="33"/>
      <c r="L13" s="33"/>
      <c r="M13" s="33"/>
      <c r="N13" s="33">
        <f>C35*'E Balans VL '!Y23/100/3.6*1000000</f>
        <v>1670.4425484933695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9232.4950000000008</v>
      </c>
      <c r="C15" s="33"/>
      <c r="D15" s="37">
        <f>IF( ISERROR(IND_rest_gas_kWh/1000),0,IND_rest_gas_kWh/1000)*0.902</f>
        <v>30625.380124404222</v>
      </c>
      <c r="E15" s="33">
        <f>C37*'E Balans VL '!I15/100/3.6*1000000</f>
        <v>469.68573692766239</v>
      </c>
      <c r="F15" s="33">
        <f>C37*'E Balans VL '!L15/100/3.6*1000000+C37*'E Balans VL '!N15/100/3.6*1000000</f>
        <v>2104.4329758776375</v>
      </c>
      <c r="G15" s="34"/>
      <c r="H15" s="33"/>
      <c r="I15" s="33"/>
      <c r="J15" s="40">
        <f>C37*'E Balans VL '!D15/100/3.6*1000000+C37*'E Balans VL '!E15/100/3.6*1000000</f>
        <v>38.733366579982913</v>
      </c>
      <c r="K15" s="33"/>
      <c r="L15" s="33"/>
      <c r="M15" s="33"/>
      <c r="N15" s="33">
        <f>C37*'E Balans VL '!Y15/100/3.6*1000000</f>
        <v>1734.6369848481856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49529.415000000001</v>
      </c>
      <c r="C18" s="21">
        <f>C5+C16</f>
        <v>0</v>
      </c>
      <c r="D18" s="21">
        <f>MAX((D5+D16),0)</f>
        <v>38784.982621021307</v>
      </c>
      <c r="E18" s="21">
        <f>MAX((E5+E16),0)</f>
        <v>2315.1717534963668</v>
      </c>
      <c r="F18" s="21">
        <f>MAX((F5+F16),0)</f>
        <v>16993.841510416405</v>
      </c>
      <c r="G18" s="21"/>
      <c r="H18" s="21"/>
      <c r="I18" s="21"/>
      <c r="J18" s="21">
        <f>MAX((J5+J16),0)</f>
        <v>63.492336479307696</v>
      </c>
      <c r="K18" s="21"/>
      <c r="L18" s="21">
        <f>MAX((L5+L16),0)</f>
        <v>0</v>
      </c>
      <c r="M18" s="21"/>
      <c r="N18" s="21">
        <f>MAX((N5+N16),0)</f>
        <v>5964.1869699078106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0.18508902450003314</v>
      </c>
      <c r="C20" s="25">
        <f ca="1">'EF ele_warmte'!B22</f>
        <v>0.18344561552896341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9167.35110640731</v>
      </c>
      <c r="C22" s="23">
        <f ca="1">C18*C20</f>
        <v>0</v>
      </c>
      <c r="D22" s="23">
        <f>D18*D20</f>
        <v>7834.5664894463043</v>
      </c>
      <c r="E22" s="23">
        <f>E18*E20</f>
        <v>525.54398804367531</v>
      </c>
      <c r="F22" s="23">
        <f>F18*F20</f>
        <v>4537.3556832811801</v>
      </c>
      <c r="G22" s="23"/>
      <c r="H22" s="23"/>
      <c r="I22" s="23"/>
      <c r="J22" s="23">
        <f>J18*J20</f>
        <v>22.476287113674925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31532.721000000001</v>
      </c>
      <c r="C30" s="39">
        <f>IF(ISERROR(B30*3.6/1000000/'E Balans VL '!Z18*100),0,B30*3.6/1000000/'E Balans VL '!Z18*100)</f>
        <v>4.4135301004637304</v>
      </c>
      <c r="D30" s="237" t="s">
        <v>692</v>
      </c>
    </row>
    <row r="31" spans="1:18">
      <c r="A31" s="6" t="s">
        <v>33</v>
      </c>
      <c r="B31" s="37">
        <f>IF( ISERROR(IND_ander_ele_kWh/1000),0,IND_ander_ele_kWh/1000)</f>
        <v>3773.6280000000002</v>
      </c>
      <c r="C31" s="39">
        <f>IF(ISERROR(B31*3.6/1000000/'E Balans VL '!Z19*100),0,B31*3.6/1000000/'E Balans VL '!Z19*100)</f>
        <v>0.16517108539056485</v>
      </c>
      <c r="D31" s="237" t="s">
        <v>692</v>
      </c>
    </row>
    <row r="32" spans="1:18">
      <c r="A32" s="171" t="s">
        <v>41</v>
      </c>
      <c r="B32" s="37">
        <f>IF( ISERROR(IND_voed_ele_kWh/1000),0,IND_voed_ele_kWh/1000)</f>
        <v>1034.5</v>
      </c>
      <c r="C32" s="39">
        <f>IF(ISERROR(B32*3.6/1000000/'E Balans VL '!Z20*100),0,B32*3.6/1000000/'E Balans VL '!Z20*100)</f>
        <v>0.25610784594953007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3956.0709999999999</v>
      </c>
      <c r="C35" s="39">
        <f>IF(ISERROR(B35*3.6/1000000/'E Balans VL '!Z22*100),0,B35*3.6/1000000/'E Balans VL '!Z22*100)</f>
        <v>0.11225715507775025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9232.4950000000008</v>
      </c>
      <c r="C37" s="39">
        <f>IF(ISERROR(B37*3.6/1000000/'E Balans VL '!Z15*100),0,B37*3.6/1000000/'E Balans VL '!Z15*100)</f>
        <v>6.8457369754967676E-2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4245.2164000000002</v>
      </c>
      <c r="C5" s="17">
        <f>'Eigen informatie GS &amp; warmtenet'!B60</f>
        <v>0</v>
      </c>
      <c r="D5" s="30">
        <f>IF(ISERROR(SUM(LB_lb_gas_kWh,LB_rest_gas_kWh,onbekend_gas_kWh)/1000),0,SUM(LB_lb_gas_kWh,LB_rest_gas_kWh,onbekend_gas_kWh)/1000)*0.902</f>
        <v>135918.29113309717</v>
      </c>
      <c r="E5" s="17">
        <f>B17*'E Balans VL '!I25/3.6*1000000/100</f>
        <v>39.320972356871025</v>
      </c>
      <c r="F5" s="17">
        <f>B17*('E Balans VL '!L25/3.6*1000000+'E Balans VL '!N25/3.6*1000000)/100</f>
        <v>10770.922719694283</v>
      </c>
      <c r="G5" s="18"/>
      <c r="H5" s="17"/>
      <c r="I5" s="17"/>
      <c r="J5" s="17">
        <f>('E Balans VL '!D25+'E Balans VL '!E25)/3.6*1000000*landbouw!B17/100</f>
        <v>650.83905087329765</v>
      </c>
      <c r="K5" s="17"/>
      <c r="L5" s="17">
        <f>L6*(-1)</f>
        <v>45491.785714285717</v>
      </c>
      <c r="M5" s="17"/>
      <c r="N5" s="17">
        <f>N6*(-1)</f>
        <v>0</v>
      </c>
      <c r="O5" s="17"/>
      <c r="P5" s="17"/>
      <c r="R5" s="32"/>
    </row>
    <row r="6" spans="1:18">
      <c r="A6" s="16" t="s">
        <v>494</v>
      </c>
      <c r="B6" s="17" t="s">
        <v>211</v>
      </c>
      <c r="C6" s="17">
        <f>'lokale energieproductie'!O91+'lokale energieproductie'!O60</f>
        <v>92120.785714285696</v>
      </c>
      <c r="D6" s="310">
        <f>('lokale energieproductie'!P60+'lokale energieproductie'!P91)*(-1)</f>
        <v>-134254.28571428571</v>
      </c>
      <c r="E6" s="248"/>
      <c r="F6" s="310">
        <f>('lokale energieproductie'!S60+'lokale energieproductie'!S91)*(-1)</f>
        <v>-7492.5</v>
      </c>
      <c r="G6" s="249"/>
      <c r="H6" s="248"/>
      <c r="I6" s="248"/>
      <c r="J6" s="248"/>
      <c r="K6" s="248"/>
      <c r="L6" s="310">
        <f>('lokale energieproductie'!T60+'lokale energieproductie'!U60+'lokale energieproductie'!T91+'lokale energieproductie'!U91)*(-1)</f>
        <v>-45491.785714285717</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4245.2164000000002</v>
      </c>
      <c r="C8" s="21">
        <f>C5+C6</f>
        <v>92120.785714285696</v>
      </c>
      <c r="D8" s="21">
        <f>MAX((D5+D6),0)</f>
        <v>1664.0054188114591</v>
      </c>
      <c r="E8" s="21">
        <f>MAX((E5+E6),0)</f>
        <v>39.320972356871025</v>
      </c>
      <c r="F8" s="21">
        <f>MAX((F5+F6),0)</f>
        <v>3278.4227196942829</v>
      </c>
      <c r="G8" s="21"/>
      <c r="H8" s="21"/>
      <c r="I8" s="21"/>
      <c r="J8" s="21">
        <f>MAX((J5+J6),0)</f>
        <v>650.83905087329765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0.18508902450003314</v>
      </c>
      <c r="C10" s="31">
        <f ca="1">'EF ele_warmte'!B22</f>
        <v>0.18344561552896341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785.74296226754257</v>
      </c>
      <c r="C12" s="23">
        <f ca="1">C8*C10</f>
        <v>16899.154238368879</v>
      </c>
      <c r="D12" s="23">
        <f>D8*D10</f>
        <v>336.12909459991477</v>
      </c>
      <c r="E12" s="23">
        <f>E8*E10</f>
        <v>8.9258607250097235</v>
      </c>
      <c r="F12" s="23">
        <f>F8*F10</f>
        <v>875.33886615837355</v>
      </c>
      <c r="G12" s="23"/>
      <c r="H12" s="23"/>
      <c r="I12" s="23"/>
      <c r="J12" s="23">
        <f>J8*J10</f>
        <v>230.39702400914734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0.60357975793345853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258.18975219105636</v>
      </c>
      <c r="C26" s="247">
        <f>B26*'GWP N2O_CH4'!B5</f>
        <v>5421.9847960121833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49.542939944241091</v>
      </c>
      <c r="C27" s="247">
        <f>B27*'GWP N2O_CH4'!B5</f>
        <v>1040.4017388290629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3.7154828538337292</v>
      </c>
      <c r="C28" s="247">
        <f>B28*'GWP N2O_CH4'!B4</f>
        <v>1151.799684688456</v>
      </c>
      <c r="D28" s="50"/>
    </row>
    <row r="29" spans="1:4">
      <c r="A29" s="41" t="s">
        <v>277</v>
      </c>
      <c r="B29" s="247">
        <f>B34*'ha_N2O bodem landbouw'!B4</f>
        <v>13.530844929672689</v>
      </c>
      <c r="C29" s="247">
        <f>B29*'GWP N2O_CH4'!B4</f>
        <v>4194.5619281985337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3.034730140630939E-3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9.2291889677408745E-5</v>
      </c>
      <c r="C5" s="464" t="s">
        <v>211</v>
      </c>
      <c r="D5" s="449">
        <f>SUM(D6:D11)</f>
        <v>2.2761114047464853E-4</v>
      </c>
      <c r="E5" s="449">
        <f>SUM(E6:E11)</f>
        <v>1.4657439246373433E-3</v>
      </c>
      <c r="F5" s="462" t="s">
        <v>211</v>
      </c>
      <c r="G5" s="449">
        <f>SUM(G6:G11)</f>
        <v>0.49817683347682457</v>
      </c>
      <c r="H5" s="449">
        <f>SUM(H6:H11)</f>
        <v>8.6444422137950866E-2</v>
      </c>
      <c r="I5" s="464" t="s">
        <v>211</v>
      </c>
      <c r="J5" s="464" t="s">
        <v>211</v>
      </c>
      <c r="K5" s="464" t="s">
        <v>211</v>
      </c>
      <c r="L5" s="464" t="s">
        <v>211</v>
      </c>
      <c r="M5" s="449">
        <f>SUM(M6:M11)</f>
        <v>3.1478329994676479E-2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8.4345321053658749E-5</v>
      </c>
      <c r="C6" s="450"/>
      <c r="D6" s="963">
        <f>vkm_2011_GW_PW*SUMIFS(TableVerdeelsleutelVkm[CNG],TableVerdeelsleutelVkm[Voertuigtype],"Lichte voertuigen")*SUMIFS(TableECFTransport[EnergieConsumptieFactor (PJ per km)],TableECFTransport[Index],CONCATENATE($A6,"_CNG_CNG"))</f>
        <v>1.9510001363228955E-4</v>
      </c>
      <c r="E6" s="963">
        <f>vkm_2011_GW_PW*SUMIFS(TableVerdeelsleutelVkm[LPG],TableVerdeelsleutelVkm[Voertuigtype],"Lichte voertuigen")*SUMIFS(TableECFTransport[EnergieConsumptieFactor (PJ per km)],TableECFTransport[Index],CONCATENATE($A6,"_LPG_LPG"))</f>
        <v>1.2703734711753893E-3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0.26391069007085871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7.4390969653617564E-2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1.7556102406967339E-2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0.19015142155309825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6.5028332860481069E-5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1.1001337564017336E-2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7.9465686237499889E-6</v>
      </c>
      <c r="C8" s="450"/>
      <c r="D8" s="452">
        <f>vkm_2011_NGW_PW*SUMIFS(TableVerdeelsleutelVkm[CNG],TableVerdeelsleutelVkm[Voertuigtype],"Lichte voertuigen")*SUMIFS(TableECFTransport[EnergieConsumptieFactor (PJ per km)],TableECFTransport[Index],CONCATENATE($A8,"_CNG_CNG"))</f>
        <v>3.2511126842358991E-5</v>
      </c>
      <c r="E8" s="452">
        <f>vkm_2011_NGW_PW*SUMIFS(TableVerdeelsleutelVkm[LPG],TableVerdeelsleutelVkm[Voertuigtype],"Lichte voertuigen")*SUMIFS(TableECFTransport[EnergieConsumptieFactor (PJ per km)],TableECFTransport[Index],CONCATENATE($A8,"_LPG_LPG"))</f>
        <v>1.953704534619541E-4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3.794065505050926E-2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1.1986426295375333E-2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2.5636887590408742E-3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6.1740668023583956E-3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1.997856097485528E-6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3.5720126465093032E-4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25.636636021502429</v>
      </c>
      <c r="C14" s="21"/>
      <c r="D14" s="21">
        <f t="shared" ref="D14:M14" si="0">((D5)*10^9/3600)+D12</f>
        <v>63.225316798513482</v>
      </c>
      <c r="E14" s="21">
        <f t="shared" si="0"/>
        <v>407.1510901770398</v>
      </c>
      <c r="F14" s="21"/>
      <c r="G14" s="21">
        <f t="shared" si="0"/>
        <v>138382.45374356239</v>
      </c>
      <c r="H14" s="21">
        <f t="shared" si="0"/>
        <v>24012.339482764131</v>
      </c>
      <c r="I14" s="21"/>
      <c r="J14" s="21"/>
      <c r="K14" s="21"/>
      <c r="L14" s="21"/>
      <c r="M14" s="21">
        <f t="shared" si="0"/>
        <v>8743.9805540767993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0.18508902450003314</v>
      </c>
      <c r="C16" s="56">
        <f ca="1">'EF ele_warmte'!B22</f>
        <v>0.18344561552896341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4.7450599526822952</v>
      </c>
      <c r="C18" s="23"/>
      <c r="D18" s="23">
        <f t="shared" ref="D18:M18" si="1">D14*D16</f>
        <v>12.771513993299724</v>
      </c>
      <c r="E18" s="23">
        <f t="shared" si="1"/>
        <v>92.423297470188032</v>
      </c>
      <c r="F18" s="23"/>
      <c r="G18" s="23">
        <f t="shared" si="1"/>
        <v>36948.115149531164</v>
      </c>
      <c r="H18" s="23">
        <f t="shared" si="1"/>
        <v>5979.0725312082686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1.6447729423585328E-2</v>
      </c>
      <c r="H50" s="321">
        <f t="shared" si="2"/>
        <v>0</v>
      </c>
      <c r="I50" s="321">
        <f t="shared" si="2"/>
        <v>0</v>
      </c>
      <c r="J50" s="321">
        <f t="shared" si="2"/>
        <v>0</v>
      </c>
      <c r="K50" s="321">
        <f t="shared" si="2"/>
        <v>0</v>
      </c>
      <c r="L50" s="321">
        <f t="shared" si="2"/>
        <v>0</v>
      </c>
      <c r="M50" s="321">
        <f t="shared" si="2"/>
        <v>9.379660613056778E-4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1.6447729423585328E-2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9.379660613056778E-4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4568.8137287737018</v>
      </c>
      <c r="H54" s="21">
        <f t="shared" si="3"/>
        <v>0</v>
      </c>
      <c r="I54" s="21">
        <f t="shared" si="3"/>
        <v>0</v>
      </c>
      <c r="J54" s="21">
        <f t="shared" si="3"/>
        <v>0</v>
      </c>
      <c r="K54" s="21">
        <f t="shared" si="3"/>
        <v>0</v>
      </c>
      <c r="L54" s="21">
        <f t="shared" si="3"/>
        <v>0</v>
      </c>
      <c r="M54" s="21">
        <f t="shared" si="3"/>
        <v>260.54612814046607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0.18508902450003314</v>
      </c>
      <c r="C56" s="56">
        <f ca="1">'EF ele_warmte'!B22</f>
        <v>0.18344561552896341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1219.8732655825784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9530.9710824890826</v>
      </c>
      <c r="C6" s="1216"/>
      <c r="D6" s="1201"/>
      <c r="E6" s="1201"/>
      <c r="F6" s="1219"/>
      <c r="G6" s="1222"/>
      <c r="H6" s="1213"/>
      <c r="I6" s="1201"/>
      <c r="J6" s="1201"/>
      <c r="K6" s="1201"/>
      <c r="L6" s="1205"/>
      <c r="M6" s="576"/>
      <c r="N6" s="1179"/>
      <c r="O6" s="1180"/>
      <c r="Q6" s="574"/>
      <c r="R6" s="1167"/>
      <c r="S6" s="1167"/>
    </row>
    <row r="7" spans="1:19" s="564" customFormat="1">
      <c r="A7" s="577" t="s">
        <v>252</v>
      </c>
      <c r="B7" s="578">
        <f>N57</f>
        <v>67609.5</v>
      </c>
      <c r="C7" s="579">
        <f>B100</f>
        <v>57229.014691868499</v>
      </c>
      <c r="D7" s="580"/>
      <c r="E7" s="580">
        <f>E100</f>
        <v>3155.0763121648356</v>
      </c>
      <c r="F7" s="581"/>
      <c r="G7" s="582"/>
      <c r="H7" s="580">
        <f>I100</f>
        <v>0</v>
      </c>
      <c r="I7" s="580">
        <f>G100+F100</f>
        <v>19156.497231260801</v>
      </c>
      <c r="J7" s="580">
        <f>H100+D100+C100</f>
        <v>0</v>
      </c>
      <c r="K7" s="580"/>
      <c r="L7" s="583"/>
      <c r="M7" s="584">
        <f>C7*$C$11+D7*$D$11+E7*$E$11+F7*$F$11+G7*$G$11+H7*$H$11+I7*$I$11+J7*$J$11</f>
        <v>12402.666343105449</v>
      </c>
      <c r="N7" s="1179"/>
      <c r="O7" s="1180"/>
      <c r="Q7" s="574"/>
      <c r="R7" s="1167"/>
      <c r="S7" s="1167"/>
    </row>
    <row r="8" spans="1:19" s="564" customFormat="1" ht="17.45" customHeight="1" thickBot="1">
      <c r="A8" s="585" t="s">
        <v>248</v>
      </c>
      <c r="B8" s="586">
        <f>N88+'Eigen informatie GS &amp; warmtenet'!B12</f>
        <v>9945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87085.471082489079</v>
      </c>
      <c r="C9" s="595">
        <f t="shared" ref="C9:L9" si="0">SUM(C7:C8)</f>
        <v>57229.014691868499</v>
      </c>
      <c r="D9" s="595">
        <f t="shared" si="0"/>
        <v>0</v>
      </c>
      <c r="E9" s="595">
        <f t="shared" si="0"/>
        <v>3155.0763121648356</v>
      </c>
      <c r="F9" s="595">
        <f t="shared" si="0"/>
        <v>0</v>
      </c>
      <c r="G9" s="595">
        <f t="shared" si="0"/>
        <v>0</v>
      </c>
      <c r="H9" s="595">
        <f t="shared" si="0"/>
        <v>0</v>
      </c>
      <c r="I9" s="595">
        <f t="shared" si="0"/>
        <v>19156.497231260801</v>
      </c>
      <c r="J9" s="595">
        <f t="shared" si="0"/>
        <v>28414.285714285717</v>
      </c>
      <c r="K9" s="595">
        <f t="shared" si="0"/>
        <v>0</v>
      </c>
      <c r="L9" s="595">
        <f t="shared" si="0"/>
        <v>0</v>
      </c>
      <c r="M9" s="596">
        <f>SUM(M4:M8)</f>
        <v>12402.666343105449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92945.785714285696</v>
      </c>
      <c r="C16" s="611">
        <f>B101</f>
        <v>78675.271022417233</v>
      </c>
      <c r="D16" s="612"/>
      <c r="E16" s="612">
        <f>E101</f>
        <v>4337.4236878351649</v>
      </c>
      <c r="F16" s="613"/>
      <c r="G16" s="614"/>
      <c r="H16" s="611">
        <f>I101</f>
        <v>0</v>
      </c>
      <c r="I16" s="612">
        <f>G101+F101</f>
        <v>26335.288483024924</v>
      </c>
      <c r="J16" s="612">
        <f>H101+D101+C101</f>
        <v>0</v>
      </c>
      <c r="K16" s="612"/>
      <c r="L16" s="615"/>
      <c r="M16" s="616">
        <f>C16*$C$21+E16*$E$21+H16*$H$21+I16*$I$21+J16*$J$21+D16*$D$21+F16*$F$21+G16*$G$21+K16*$K$21+L16*$L$21</f>
        <v>17050.496871180272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92945.785714285696</v>
      </c>
      <c r="C19" s="594">
        <f>SUM(C16:C18)</f>
        <v>78675.271022417233</v>
      </c>
      <c r="D19" s="594">
        <f t="shared" ref="D19:M19" si="1">SUM(D16:D18)</f>
        <v>0</v>
      </c>
      <c r="E19" s="594">
        <f t="shared" si="1"/>
        <v>4337.4236878351649</v>
      </c>
      <c r="F19" s="594">
        <f t="shared" si="1"/>
        <v>0</v>
      </c>
      <c r="G19" s="594">
        <f t="shared" si="1"/>
        <v>0</v>
      </c>
      <c r="H19" s="594">
        <f t="shared" si="1"/>
        <v>0</v>
      </c>
      <c r="I19" s="594">
        <f t="shared" si="1"/>
        <v>26335.288483024924</v>
      </c>
      <c r="J19" s="594">
        <f t="shared" si="1"/>
        <v>0</v>
      </c>
      <c r="K19" s="594">
        <f t="shared" si="1"/>
        <v>0</v>
      </c>
      <c r="L19" s="594">
        <f t="shared" si="1"/>
        <v>0</v>
      </c>
      <c r="M19" s="621">
        <f t="shared" si="1"/>
        <v>17050.496871180272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12021</v>
      </c>
      <c r="C27" s="852">
        <v>2500</v>
      </c>
      <c r="D27" s="673" t="s">
        <v>834</v>
      </c>
      <c r="E27" s="672" t="s">
        <v>835</v>
      </c>
      <c r="F27" s="672" t="s">
        <v>836</v>
      </c>
      <c r="G27" s="672" t="s">
        <v>837</v>
      </c>
      <c r="H27" s="672" t="s">
        <v>838</v>
      </c>
      <c r="I27" s="672" t="s">
        <v>835</v>
      </c>
      <c r="J27" s="851">
        <v>39386</v>
      </c>
      <c r="K27" s="851">
        <v>39218</v>
      </c>
      <c r="L27" s="672" t="s">
        <v>839</v>
      </c>
      <c r="M27" s="672">
        <v>3116</v>
      </c>
      <c r="N27" s="672">
        <v>14022</v>
      </c>
      <c r="O27" s="672">
        <v>20031.428571428572</v>
      </c>
      <c r="P27" s="672">
        <v>40062.857142857145</v>
      </c>
      <c r="Q27" s="672">
        <v>0</v>
      </c>
      <c r="R27" s="672">
        <v>0</v>
      </c>
      <c r="S27" s="672">
        <v>0</v>
      </c>
      <c r="T27" s="672">
        <v>0</v>
      </c>
      <c r="U27" s="672">
        <v>0</v>
      </c>
      <c r="V27" s="672">
        <v>0</v>
      </c>
      <c r="W27" s="672">
        <v>0</v>
      </c>
      <c r="X27" s="672">
        <v>10</v>
      </c>
      <c r="Y27" s="672" t="s">
        <v>112</v>
      </c>
      <c r="Z27" s="674" t="s">
        <v>112</v>
      </c>
    </row>
    <row r="28" spans="1:26" s="626" customFormat="1" ht="25.5">
      <c r="A28" s="625"/>
      <c r="B28" s="852">
        <v>12021</v>
      </c>
      <c r="C28" s="852">
        <v>2500</v>
      </c>
      <c r="D28" s="673" t="s">
        <v>840</v>
      </c>
      <c r="E28" s="672" t="s">
        <v>841</v>
      </c>
      <c r="F28" s="672" t="s">
        <v>842</v>
      </c>
      <c r="G28" s="672" t="s">
        <v>837</v>
      </c>
      <c r="H28" s="672" t="s">
        <v>838</v>
      </c>
      <c r="I28" s="672" t="s">
        <v>841</v>
      </c>
      <c r="J28" s="851">
        <v>39370</v>
      </c>
      <c r="K28" s="851">
        <v>39444</v>
      </c>
      <c r="L28" s="672" t="s">
        <v>839</v>
      </c>
      <c r="M28" s="672">
        <v>1147</v>
      </c>
      <c r="N28" s="672">
        <v>5161.5</v>
      </c>
      <c r="O28" s="672">
        <v>7373.5714285714284</v>
      </c>
      <c r="P28" s="672">
        <v>14747.142857142859</v>
      </c>
      <c r="Q28" s="672">
        <v>0</v>
      </c>
      <c r="R28" s="672">
        <v>0</v>
      </c>
      <c r="S28" s="672">
        <v>0</v>
      </c>
      <c r="T28" s="672">
        <v>0</v>
      </c>
      <c r="U28" s="672">
        <v>0</v>
      </c>
      <c r="V28" s="672">
        <v>0</v>
      </c>
      <c r="W28" s="672">
        <v>0</v>
      </c>
      <c r="X28" s="672">
        <v>10</v>
      </c>
      <c r="Y28" s="672" t="s">
        <v>112</v>
      </c>
      <c r="Z28" s="674" t="s">
        <v>112</v>
      </c>
    </row>
    <row r="29" spans="1:26" s="626" customFormat="1" ht="38.25">
      <c r="A29" s="625"/>
      <c r="B29" s="852">
        <v>12021</v>
      </c>
      <c r="C29" s="852">
        <v>2500</v>
      </c>
      <c r="D29" s="673" t="s">
        <v>843</v>
      </c>
      <c r="E29" s="672" t="s">
        <v>844</v>
      </c>
      <c r="F29" s="672" t="s">
        <v>845</v>
      </c>
      <c r="G29" s="672" t="s">
        <v>837</v>
      </c>
      <c r="H29" s="672" t="s">
        <v>846</v>
      </c>
      <c r="I29" s="672" t="s">
        <v>844</v>
      </c>
      <c r="J29" s="851">
        <v>40823</v>
      </c>
      <c r="K29" s="851">
        <v>39630</v>
      </c>
      <c r="L29" s="672" t="s">
        <v>839</v>
      </c>
      <c r="M29" s="672">
        <v>2664</v>
      </c>
      <c r="N29" s="672">
        <v>11988</v>
      </c>
      <c r="O29" s="672">
        <v>13486.5</v>
      </c>
      <c r="P29" s="672">
        <v>0</v>
      </c>
      <c r="Q29" s="672">
        <v>0</v>
      </c>
      <c r="R29" s="672">
        <v>0</v>
      </c>
      <c r="S29" s="672">
        <v>7492.5</v>
      </c>
      <c r="T29" s="672">
        <v>0</v>
      </c>
      <c r="U29" s="672">
        <v>22477.5</v>
      </c>
      <c r="V29" s="672">
        <v>0</v>
      </c>
      <c r="W29" s="672">
        <v>0</v>
      </c>
      <c r="X29" s="672">
        <v>10</v>
      </c>
      <c r="Y29" s="672" t="s">
        <v>112</v>
      </c>
      <c r="Z29" s="674" t="s">
        <v>112</v>
      </c>
    </row>
    <row r="30" spans="1:26" s="626" customFormat="1" ht="25.5">
      <c r="A30" s="625"/>
      <c r="B30" s="852">
        <v>12021</v>
      </c>
      <c r="C30" s="852">
        <v>2500</v>
      </c>
      <c r="D30" s="673" t="s">
        <v>847</v>
      </c>
      <c r="E30" s="672" t="s">
        <v>848</v>
      </c>
      <c r="F30" s="672" t="s">
        <v>849</v>
      </c>
      <c r="G30" s="672" t="s">
        <v>837</v>
      </c>
      <c r="H30" s="672" t="s">
        <v>838</v>
      </c>
      <c r="I30" s="672" t="s">
        <v>850</v>
      </c>
      <c r="J30" s="851">
        <v>39721</v>
      </c>
      <c r="K30" s="851">
        <v>39721</v>
      </c>
      <c r="L30" s="672" t="s">
        <v>839</v>
      </c>
      <c r="M30" s="672">
        <v>1790</v>
      </c>
      <c r="N30" s="672">
        <v>8055</v>
      </c>
      <c r="O30" s="672">
        <v>11507.142857142857</v>
      </c>
      <c r="P30" s="672">
        <v>0</v>
      </c>
      <c r="Q30" s="672">
        <v>0</v>
      </c>
      <c r="R30" s="672">
        <v>0</v>
      </c>
      <c r="S30" s="672">
        <v>0</v>
      </c>
      <c r="T30" s="672">
        <v>23014.285714285717</v>
      </c>
      <c r="U30" s="672">
        <v>0</v>
      </c>
      <c r="V30" s="672">
        <v>0</v>
      </c>
      <c r="W30" s="672">
        <v>0</v>
      </c>
      <c r="X30" s="672">
        <v>10</v>
      </c>
      <c r="Y30" s="672" t="s">
        <v>112</v>
      </c>
      <c r="Z30" s="674" t="s">
        <v>112</v>
      </c>
    </row>
    <row r="31" spans="1:26" s="626" customFormat="1" ht="38.25">
      <c r="A31" s="625"/>
      <c r="B31" s="852">
        <v>12021</v>
      </c>
      <c r="C31" s="852">
        <v>2500</v>
      </c>
      <c r="D31" s="673" t="s">
        <v>851</v>
      </c>
      <c r="E31" s="672" t="s">
        <v>852</v>
      </c>
      <c r="F31" s="672" t="s">
        <v>853</v>
      </c>
      <c r="G31" s="672" t="s">
        <v>837</v>
      </c>
      <c r="H31" s="672" t="s">
        <v>838</v>
      </c>
      <c r="I31" s="672" t="s">
        <v>854</v>
      </c>
      <c r="J31" s="851">
        <v>40016</v>
      </c>
      <c r="K31" s="851">
        <v>40023</v>
      </c>
      <c r="L31" s="672" t="s">
        <v>839</v>
      </c>
      <c r="M31" s="672">
        <v>1008</v>
      </c>
      <c r="N31" s="672">
        <v>4536</v>
      </c>
      <c r="O31" s="672">
        <v>6480</v>
      </c>
      <c r="P31" s="672">
        <v>12960</v>
      </c>
      <c r="Q31" s="672">
        <v>0</v>
      </c>
      <c r="R31" s="672">
        <v>0</v>
      </c>
      <c r="S31" s="672">
        <v>0</v>
      </c>
      <c r="T31" s="672">
        <v>0</v>
      </c>
      <c r="U31" s="672">
        <v>0</v>
      </c>
      <c r="V31" s="672">
        <v>0</v>
      </c>
      <c r="W31" s="672">
        <v>0</v>
      </c>
      <c r="X31" s="672">
        <v>10</v>
      </c>
      <c r="Y31" s="672" t="s">
        <v>112</v>
      </c>
      <c r="Z31" s="674" t="s">
        <v>112</v>
      </c>
    </row>
    <row r="32" spans="1:26" s="626" customFormat="1" ht="25.5">
      <c r="A32" s="625"/>
      <c r="B32" s="852">
        <v>12021</v>
      </c>
      <c r="C32" s="852">
        <v>2500</v>
      </c>
      <c r="D32" s="673" t="s">
        <v>855</v>
      </c>
      <c r="E32" s="672" t="s">
        <v>856</v>
      </c>
      <c r="F32" s="672" t="s">
        <v>857</v>
      </c>
      <c r="G32" s="672" t="s">
        <v>837</v>
      </c>
      <c r="H32" s="672" t="s">
        <v>838</v>
      </c>
      <c r="I32" s="672" t="s">
        <v>858</v>
      </c>
      <c r="J32" s="851">
        <v>39998</v>
      </c>
      <c r="K32" s="851">
        <v>40028</v>
      </c>
      <c r="L32" s="672" t="s">
        <v>839</v>
      </c>
      <c r="M32" s="672">
        <v>1562</v>
      </c>
      <c r="N32" s="672">
        <v>7029</v>
      </c>
      <c r="O32" s="672">
        <v>10041.428571428572</v>
      </c>
      <c r="P32" s="672">
        <v>20082.857142857145</v>
      </c>
      <c r="Q32" s="672">
        <v>0</v>
      </c>
      <c r="R32" s="672">
        <v>0</v>
      </c>
      <c r="S32" s="672">
        <v>0</v>
      </c>
      <c r="T32" s="672">
        <v>0</v>
      </c>
      <c r="U32" s="672">
        <v>0</v>
      </c>
      <c r="V32" s="672">
        <v>0</v>
      </c>
      <c r="W32" s="672">
        <v>0</v>
      </c>
      <c r="X32" s="672">
        <v>10</v>
      </c>
      <c r="Y32" s="672" t="s">
        <v>112</v>
      </c>
      <c r="Z32" s="674" t="s">
        <v>112</v>
      </c>
    </row>
    <row r="33" spans="1:26" s="626" customFormat="1" ht="25.5">
      <c r="A33" s="625"/>
      <c r="B33" s="852">
        <v>12021</v>
      </c>
      <c r="C33" s="852">
        <v>2500</v>
      </c>
      <c r="D33" s="673" t="s">
        <v>859</v>
      </c>
      <c r="E33" s="672" t="s">
        <v>860</v>
      </c>
      <c r="F33" s="672" t="s">
        <v>861</v>
      </c>
      <c r="G33" s="672" t="s">
        <v>837</v>
      </c>
      <c r="H33" s="672" t="s">
        <v>838</v>
      </c>
      <c r="I33" s="672" t="s">
        <v>860</v>
      </c>
      <c r="J33" s="851">
        <v>40043</v>
      </c>
      <c r="K33" s="851">
        <v>40043</v>
      </c>
      <c r="L33" s="672" t="s">
        <v>839</v>
      </c>
      <c r="M33" s="672">
        <v>2425</v>
      </c>
      <c r="N33" s="672">
        <v>10912.5</v>
      </c>
      <c r="O33" s="672">
        <v>15589.285714285714</v>
      </c>
      <c r="P33" s="672">
        <v>31178.571428571431</v>
      </c>
      <c r="Q33" s="672">
        <v>0</v>
      </c>
      <c r="R33" s="672">
        <v>0</v>
      </c>
      <c r="S33" s="672">
        <v>0</v>
      </c>
      <c r="T33" s="672">
        <v>0</v>
      </c>
      <c r="U33" s="672">
        <v>0</v>
      </c>
      <c r="V33" s="672">
        <v>0</v>
      </c>
      <c r="W33" s="672">
        <v>0</v>
      </c>
      <c r="X33" s="672">
        <v>10</v>
      </c>
      <c r="Y33" s="672" t="s">
        <v>112</v>
      </c>
      <c r="Z33" s="674" t="s">
        <v>112</v>
      </c>
    </row>
    <row r="34" spans="1:26" s="626" customFormat="1" ht="25.5">
      <c r="A34" s="625"/>
      <c r="B34" s="852">
        <v>12021</v>
      </c>
      <c r="C34" s="852">
        <v>2500</v>
      </c>
      <c r="D34" s="673" t="s">
        <v>862</v>
      </c>
      <c r="E34" s="672" t="s">
        <v>863</v>
      </c>
      <c r="F34" s="672" t="s">
        <v>864</v>
      </c>
      <c r="G34" s="672" t="s">
        <v>837</v>
      </c>
      <c r="H34" s="672" t="s">
        <v>838</v>
      </c>
      <c r="I34" s="672" t="s">
        <v>863</v>
      </c>
      <c r="J34" s="851">
        <v>40619</v>
      </c>
      <c r="K34" s="851">
        <v>40619</v>
      </c>
      <c r="L34" s="672" t="s">
        <v>839</v>
      </c>
      <c r="M34" s="672">
        <v>1184</v>
      </c>
      <c r="N34" s="672">
        <v>5328</v>
      </c>
      <c r="O34" s="672">
        <v>7611.4285714285716</v>
      </c>
      <c r="P34" s="672">
        <v>15222.857142857143</v>
      </c>
      <c r="Q34" s="672">
        <v>0</v>
      </c>
      <c r="R34" s="672">
        <v>0</v>
      </c>
      <c r="S34" s="672">
        <v>0</v>
      </c>
      <c r="T34" s="672">
        <v>0</v>
      </c>
      <c r="U34" s="672">
        <v>0</v>
      </c>
      <c r="V34" s="672">
        <v>0</v>
      </c>
      <c r="W34" s="672">
        <v>0</v>
      </c>
      <c r="X34" s="672">
        <v>10</v>
      </c>
      <c r="Y34" s="672" t="s">
        <v>112</v>
      </c>
      <c r="Z34" s="674" t="s">
        <v>112</v>
      </c>
    </row>
    <row r="35" spans="1:26" s="626" customFormat="1" ht="38.25">
      <c r="A35" s="625"/>
      <c r="B35" s="852">
        <v>12021</v>
      </c>
      <c r="C35" s="852">
        <v>2500</v>
      </c>
      <c r="D35" s="673" t="s">
        <v>865</v>
      </c>
      <c r="E35" s="672" t="s">
        <v>866</v>
      </c>
      <c r="F35" s="672" t="s">
        <v>867</v>
      </c>
      <c r="G35" s="672" t="s">
        <v>837</v>
      </c>
      <c r="H35" s="672" t="s">
        <v>838</v>
      </c>
      <c r="I35" s="672" t="s">
        <v>868</v>
      </c>
      <c r="J35" s="851">
        <v>41393</v>
      </c>
      <c r="K35" s="851">
        <v>41659</v>
      </c>
      <c r="L35" s="672" t="s">
        <v>839</v>
      </c>
      <c r="M35" s="672">
        <v>140</v>
      </c>
      <c r="N35" s="672">
        <v>577.5</v>
      </c>
      <c r="O35" s="672">
        <v>825</v>
      </c>
      <c r="P35" s="672">
        <v>1650</v>
      </c>
      <c r="Q35" s="672">
        <v>0</v>
      </c>
      <c r="R35" s="672">
        <v>0</v>
      </c>
      <c r="S35" s="672">
        <v>0</v>
      </c>
      <c r="T35" s="672">
        <v>0</v>
      </c>
      <c r="U35" s="672">
        <v>0</v>
      </c>
      <c r="V35" s="672">
        <v>0</v>
      </c>
      <c r="W35" s="672">
        <v>0</v>
      </c>
      <c r="X35" s="672">
        <v>1500</v>
      </c>
      <c r="Y35" s="672" t="s">
        <v>51</v>
      </c>
      <c r="Z35" s="674" t="s">
        <v>156</v>
      </c>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15036</v>
      </c>
      <c r="N57" s="630">
        <f>SUM(N27:N56)</f>
        <v>67609.5</v>
      </c>
      <c r="O57" s="630">
        <f t="shared" ref="O57:W57" si="2">SUM(O27:O56)</f>
        <v>92945.785714285696</v>
      </c>
      <c r="P57" s="630">
        <f t="shared" si="2"/>
        <v>135904.28571428571</v>
      </c>
      <c r="Q57" s="630">
        <f t="shared" si="2"/>
        <v>0</v>
      </c>
      <c r="R57" s="630">
        <f t="shared" si="2"/>
        <v>0</v>
      </c>
      <c r="S57" s="630">
        <f t="shared" si="2"/>
        <v>7492.5</v>
      </c>
      <c r="T57" s="630">
        <f t="shared" si="2"/>
        <v>23014.285714285717</v>
      </c>
      <c r="U57" s="630">
        <f t="shared" si="2"/>
        <v>22477.5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140</v>
      </c>
      <c r="N59" s="630">
        <f ca="1">SUMIF($Z$27:AB56,"tertiair",N27:N56)</f>
        <v>577.5</v>
      </c>
      <c r="O59" s="630">
        <f ca="1">SUMIF($Z$27:AC56,"tertiair",O27:O56)</f>
        <v>825</v>
      </c>
      <c r="P59" s="630">
        <f ca="1">SUMIF($Z$27:AD56,"tertiair",P27:P56)</f>
        <v>1650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14896</v>
      </c>
      <c r="N60" s="635">
        <f t="shared" ref="N60:W60" si="4">SUMIF($Z$27:$Z$56,"landbouw",N27:N56)</f>
        <v>67032</v>
      </c>
      <c r="O60" s="635">
        <f t="shared" si="4"/>
        <v>92120.785714285696</v>
      </c>
      <c r="P60" s="635">
        <f t="shared" si="4"/>
        <v>134254.28571428571</v>
      </c>
      <c r="Q60" s="635">
        <f t="shared" si="4"/>
        <v>0</v>
      </c>
      <c r="R60" s="635">
        <f t="shared" si="4"/>
        <v>0</v>
      </c>
      <c r="S60" s="635">
        <f t="shared" si="4"/>
        <v>7492.5</v>
      </c>
      <c r="T60" s="635">
        <f t="shared" si="4"/>
        <v>23014.285714285717</v>
      </c>
      <c r="U60" s="635">
        <f t="shared" si="4"/>
        <v>22477.5</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12021</v>
      </c>
      <c r="C63" s="852">
        <v>2500</v>
      </c>
      <c r="D63" s="675" t="s">
        <v>869</v>
      </c>
      <c r="E63" s="675" t="s">
        <v>870</v>
      </c>
      <c r="F63" s="675" t="s">
        <v>871</v>
      </c>
      <c r="G63" s="675" t="s">
        <v>872</v>
      </c>
      <c r="H63" s="675" t="s">
        <v>873</v>
      </c>
      <c r="I63" s="675" t="s">
        <v>863</v>
      </c>
      <c r="J63" s="851">
        <v>34973</v>
      </c>
      <c r="K63" s="851">
        <v>37681</v>
      </c>
      <c r="L63" s="675" t="s">
        <v>874</v>
      </c>
      <c r="M63" s="675">
        <v>2210</v>
      </c>
      <c r="N63" s="675">
        <v>9945</v>
      </c>
      <c r="O63" s="675">
        <v>0</v>
      </c>
      <c r="P63" s="675">
        <v>0</v>
      </c>
      <c r="Q63" s="675">
        <v>0</v>
      </c>
      <c r="R63" s="675">
        <v>28414.285714285717</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2210</v>
      </c>
      <c r="N88" s="630">
        <f t="shared" ref="N88:W88" si="5">SUM(N63:N87)</f>
        <v>9945</v>
      </c>
      <c r="O88" s="630">
        <f t="shared" si="5"/>
        <v>0</v>
      </c>
      <c r="P88" s="630">
        <f t="shared" si="5"/>
        <v>0</v>
      </c>
      <c r="Q88" s="630">
        <f t="shared" si="5"/>
        <v>0</v>
      </c>
      <c r="R88" s="630">
        <f t="shared" si="5"/>
        <v>28414.285714285717</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2210</v>
      </c>
      <c r="N90" s="630">
        <f t="shared" ref="N90:W90" si="7">SUMIF($Z$63:$Z$88,"tertiair",N63:N88)</f>
        <v>9945</v>
      </c>
      <c r="O90" s="630">
        <f t="shared" si="7"/>
        <v>0</v>
      </c>
      <c r="P90" s="630">
        <f t="shared" si="7"/>
        <v>0</v>
      </c>
      <c r="Q90" s="630">
        <f t="shared" si="7"/>
        <v>0</v>
      </c>
      <c r="R90" s="630">
        <f t="shared" si="7"/>
        <v>28414.285714285717</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0.57890206043846049</v>
      </c>
      <c r="C97" s="655">
        <f>IF(ISERROR(N57/(O57+N57)),0,N57/(N57+O57))</f>
        <v>0.42109793956153962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57229.014691868499</v>
      </c>
      <c r="C100" s="664">
        <f t="shared" si="9"/>
        <v>0</v>
      </c>
      <c r="D100" s="664">
        <f t="shared" si="9"/>
        <v>0</v>
      </c>
      <c r="E100" s="664">
        <f t="shared" si="9"/>
        <v>3155.0763121648356</v>
      </c>
      <c r="F100" s="664">
        <f t="shared" si="9"/>
        <v>9691.2682947662925</v>
      </c>
      <c r="G100" s="664">
        <f t="shared" si="9"/>
        <v>9465.2289364945063</v>
      </c>
      <c r="H100" s="664">
        <f t="shared" si="9"/>
        <v>0</v>
      </c>
      <c r="I100" s="665">
        <f t="shared" si="9"/>
        <v>0</v>
      </c>
      <c r="J100" s="622"/>
      <c r="K100" s="622"/>
      <c r="L100" s="660"/>
      <c r="M100" s="647"/>
      <c r="N100" s="647"/>
    </row>
    <row r="101" spans="1:14" ht="15.75" thickBot="1">
      <c r="A101" s="666" t="s">
        <v>286</v>
      </c>
      <c r="B101" s="667">
        <f>$B$97*P57</f>
        <v>78675.271022417233</v>
      </c>
      <c r="C101" s="667">
        <f t="shared" ref="C101:H101" si="10">$B$97*Q57</f>
        <v>0</v>
      </c>
      <c r="D101" s="667">
        <f t="shared" si="10"/>
        <v>0</v>
      </c>
      <c r="E101" s="667">
        <f t="shared" si="10"/>
        <v>4337.4236878351649</v>
      </c>
      <c r="F101" s="667">
        <f t="shared" si="10"/>
        <v>13323.017419519429</v>
      </c>
      <c r="G101" s="667">
        <f t="shared" si="10"/>
        <v>13012.271063505495</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76764.737999999998</v>
      </c>
      <c r="D10" s="719">
        <f ca="1">tertiair!C16</f>
        <v>825</v>
      </c>
      <c r="E10" s="719">
        <f ca="1">tertiair!D16</f>
        <v>56109.437126946352</v>
      </c>
      <c r="F10" s="719">
        <f>tertiair!E16</f>
        <v>615.92968745027292</v>
      </c>
      <c r="G10" s="719">
        <f ca="1">tertiair!F16</f>
        <v>9458.9181173147408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95.333333333333343</v>
      </c>
      <c r="R10" s="722">
        <f ca="1">SUM(C10:Q10)</f>
        <v>143872.48293171139</v>
      </c>
      <c r="S10" s="67"/>
    </row>
    <row r="11" spans="1:19" s="475" customFormat="1">
      <c r="A11" s="871" t="s">
        <v>225</v>
      </c>
      <c r="B11" s="876"/>
      <c r="C11" s="719">
        <f>huishoudens!B8</f>
        <v>59995.753476928934</v>
      </c>
      <c r="D11" s="719">
        <f>huishoudens!C8</f>
        <v>0</v>
      </c>
      <c r="E11" s="719">
        <f>huishoudens!D8</f>
        <v>150865.72112735416</v>
      </c>
      <c r="F11" s="719">
        <f>huishoudens!E8</f>
        <v>2784.2577054859557</v>
      </c>
      <c r="G11" s="719">
        <f>huishoudens!F8</f>
        <v>0</v>
      </c>
      <c r="H11" s="719">
        <f>huishoudens!G8</f>
        <v>0</v>
      </c>
      <c r="I11" s="719">
        <f>huishoudens!H8</f>
        <v>0</v>
      </c>
      <c r="J11" s="719">
        <f>huishoudens!I8</f>
        <v>0</v>
      </c>
      <c r="K11" s="719">
        <f>huishoudens!J8</f>
        <v>151.24916213499145</v>
      </c>
      <c r="L11" s="719">
        <f>huishoudens!K8</f>
        <v>0</v>
      </c>
      <c r="M11" s="719">
        <f>huishoudens!L8</f>
        <v>0</v>
      </c>
      <c r="N11" s="719">
        <f>huishoudens!M8</f>
        <v>0</v>
      </c>
      <c r="O11" s="719">
        <f>huishoudens!N8</f>
        <v>8060.8904127529659</v>
      </c>
      <c r="P11" s="719">
        <f>huishoudens!O8</f>
        <v>223.55666666666667</v>
      </c>
      <c r="Q11" s="720">
        <f>huishoudens!P8</f>
        <v>743.6</v>
      </c>
      <c r="R11" s="722">
        <f>SUM(C11:Q11)</f>
        <v>222825.02855132369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49529.415000000001</v>
      </c>
      <c r="D13" s="719">
        <f>industrie!C18</f>
        <v>0</v>
      </c>
      <c r="E13" s="719">
        <f>industrie!D18</f>
        <v>38784.982621021307</v>
      </c>
      <c r="F13" s="719">
        <f>industrie!E18</f>
        <v>2315.1717534963668</v>
      </c>
      <c r="G13" s="719">
        <f>industrie!F18</f>
        <v>16993.841510416405</v>
      </c>
      <c r="H13" s="719">
        <f>industrie!G18</f>
        <v>0</v>
      </c>
      <c r="I13" s="719">
        <f>industrie!H18</f>
        <v>0</v>
      </c>
      <c r="J13" s="719">
        <f>industrie!I18</f>
        <v>0</v>
      </c>
      <c r="K13" s="719">
        <f>industrie!J18</f>
        <v>63.492336479307696</v>
      </c>
      <c r="L13" s="719">
        <f>industrie!K18</f>
        <v>0</v>
      </c>
      <c r="M13" s="719">
        <f>industrie!L18</f>
        <v>0</v>
      </c>
      <c r="N13" s="719">
        <f>industrie!M18</f>
        <v>0</v>
      </c>
      <c r="O13" s="719">
        <f>industrie!N18</f>
        <v>5964.1869699078106</v>
      </c>
      <c r="P13" s="719">
        <f>industrie!O18</f>
        <v>0</v>
      </c>
      <c r="Q13" s="720">
        <f>industrie!P18</f>
        <v>0</v>
      </c>
      <c r="R13" s="722">
        <f>SUM(C13:Q13)</f>
        <v>113651.0901913212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186289.90647692894</v>
      </c>
      <c r="D15" s="724">
        <f t="shared" ref="D15:Q15" ca="1" si="0">SUM(D9:D14)</f>
        <v>825</v>
      </c>
      <c r="E15" s="724">
        <f t="shared" ca="1" si="0"/>
        <v>245760.14087532181</v>
      </c>
      <c r="F15" s="724">
        <f t="shared" si="0"/>
        <v>5715.3591464325955</v>
      </c>
      <c r="G15" s="724">
        <f t="shared" ca="1" si="0"/>
        <v>26452.759627731146</v>
      </c>
      <c r="H15" s="724">
        <f t="shared" si="0"/>
        <v>0</v>
      </c>
      <c r="I15" s="724">
        <f t="shared" si="0"/>
        <v>0</v>
      </c>
      <c r="J15" s="724">
        <f t="shared" si="0"/>
        <v>0</v>
      </c>
      <c r="K15" s="724">
        <f t="shared" si="0"/>
        <v>214.74149861429913</v>
      </c>
      <c r="L15" s="724">
        <f t="shared" si="0"/>
        <v>0</v>
      </c>
      <c r="M15" s="724">
        <f t="shared" ca="1" si="0"/>
        <v>0</v>
      </c>
      <c r="N15" s="724">
        <f t="shared" si="0"/>
        <v>0</v>
      </c>
      <c r="O15" s="724">
        <f t="shared" ca="1" si="0"/>
        <v>14025.077382660776</v>
      </c>
      <c r="P15" s="724">
        <f t="shared" si="0"/>
        <v>226.68333333333334</v>
      </c>
      <c r="Q15" s="725">
        <f t="shared" si="0"/>
        <v>838.93333333333339</v>
      </c>
      <c r="R15" s="726">
        <f ca="1">SUM(R9:R14)</f>
        <v>480348.60167435626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4568.8137287737018</v>
      </c>
      <c r="I18" s="719">
        <f>transport!H54</f>
        <v>0</v>
      </c>
      <c r="J18" s="719">
        <f>transport!I54</f>
        <v>0</v>
      </c>
      <c r="K18" s="719">
        <f>transport!J54</f>
        <v>0</v>
      </c>
      <c r="L18" s="719">
        <f>transport!K54</f>
        <v>0</v>
      </c>
      <c r="M18" s="719">
        <f>transport!L54</f>
        <v>0</v>
      </c>
      <c r="N18" s="719">
        <f>transport!M54</f>
        <v>260.54612814046607</v>
      </c>
      <c r="O18" s="719">
        <f>transport!N54</f>
        <v>0</v>
      </c>
      <c r="P18" s="719">
        <f>transport!O54</f>
        <v>0</v>
      </c>
      <c r="Q18" s="720">
        <f>transport!P54</f>
        <v>0</v>
      </c>
      <c r="R18" s="722">
        <f>SUM(C18:Q18)</f>
        <v>4829.3598569141677</v>
      </c>
      <c r="S18" s="67"/>
    </row>
    <row r="19" spans="1:19" s="475" customFormat="1" ht="15" thickBot="1">
      <c r="A19" s="871" t="s">
        <v>307</v>
      </c>
      <c r="B19" s="876"/>
      <c r="C19" s="728">
        <f>transport!B14</f>
        <v>25.636636021502429</v>
      </c>
      <c r="D19" s="728">
        <f>transport!C14</f>
        <v>0</v>
      </c>
      <c r="E19" s="728">
        <f>transport!D14</f>
        <v>63.225316798513482</v>
      </c>
      <c r="F19" s="728">
        <f>transport!E14</f>
        <v>407.1510901770398</v>
      </c>
      <c r="G19" s="728">
        <f>transport!F14</f>
        <v>0</v>
      </c>
      <c r="H19" s="728">
        <f>transport!G14</f>
        <v>138382.45374356239</v>
      </c>
      <c r="I19" s="728">
        <f>transport!H14</f>
        <v>24012.339482764131</v>
      </c>
      <c r="J19" s="728">
        <f>transport!I14</f>
        <v>0</v>
      </c>
      <c r="K19" s="728">
        <f>transport!J14</f>
        <v>0</v>
      </c>
      <c r="L19" s="728">
        <f>transport!K14</f>
        <v>0</v>
      </c>
      <c r="M19" s="728">
        <f>transport!L14</f>
        <v>0</v>
      </c>
      <c r="N19" s="728">
        <f>transport!M14</f>
        <v>8743.9805540767993</v>
      </c>
      <c r="O19" s="728">
        <f>transport!N14</f>
        <v>0</v>
      </c>
      <c r="P19" s="728">
        <f>transport!O14</f>
        <v>0</v>
      </c>
      <c r="Q19" s="729">
        <f>transport!P14</f>
        <v>0</v>
      </c>
      <c r="R19" s="730">
        <f>SUM(C19:Q19)</f>
        <v>171634.78682340035</v>
      </c>
      <c r="S19" s="67"/>
    </row>
    <row r="20" spans="1:19" s="475" customFormat="1" ht="15.75" thickBot="1">
      <c r="A20" s="731" t="s">
        <v>230</v>
      </c>
      <c r="B20" s="879"/>
      <c r="C20" s="874">
        <f>SUM(C17:C19)</f>
        <v>25.636636021502429</v>
      </c>
      <c r="D20" s="732">
        <f t="shared" ref="D20:R20" si="1">SUM(D17:D19)</f>
        <v>0</v>
      </c>
      <c r="E20" s="732">
        <f t="shared" si="1"/>
        <v>63.225316798513482</v>
      </c>
      <c r="F20" s="732">
        <f t="shared" si="1"/>
        <v>407.1510901770398</v>
      </c>
      <c r="G20" s="732">
        <f t="shared" si="1"/>
        <v>0</v>
      </c>
      <c r="H20" s="732">
        <f t="shared" si="1"/>
        <v>142951.2674723361</v>
      </c>
      <c r="I20" s="732">
        <f t="shared" si="1"/>
        <v>24012.339482764131</v>
      </c>
      <c r="J20" s="732">
        <f t="shared" si="1"/>
        <v>0</v>
      </c>
      <c r="K20" s="732">
        <f t="shared" si="1"/>
        <v>0</v>
      </c>
      <c r="L20" s="732">
        <f t="shared" si="1"/>
        <v>0</v>
      </c>
      <c r="M20" s="732">
        <f t="shared" si="1"/>
        <v>0</v>
      </c>
      <c r="N20" s="732">
        <f t="shared" si="1"/>
        <v>9004.5266822172653</v>
      </c>
      <c r="O20" s="732">
        <f t="shared" si="1"/>
        <v>0</v>
      </c>
      <c r="P20" s="732">
        <f t="shared" si="1"/>
        <v>0</v>
      </c>
      <c r="Q20" s="733">
        <f t="shared" si="1"/>
        <v>0</v>
      </c>
      <c r="R20" s="734">
        <f t="shared" si="1"/>
        <v>176464.14668031453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4245.2164000000002</v>
      </c>
      <c r="D22" s="728">
        <f>+landbouw!C8</f>
        <v>92120.785714285696</v>
      </c>
      <c r="E22" s="728">
        <f>+landbouw!D8</f>
        <v>1664.0054188114591</v>
      </c>
      <c r="F22" s="728">
        <f>+landbouw!E8</f>
        <v>39.320972356871025</v>
      </c>
      <c r="G22" s="728">
        <f>+landbouw!F8</f>
        <v>3278.4227196942829</v>
      </c>
      <c r="H22" s="728">
        <f>+landbouw!G8</f>
        <v>0</v>
      </c>
      <c r="I22" s="728">
        <f>+landbouw!H8</f>
        <v>0</v>
      </c>
      <c r="J22" s="728">
        <f>+landbouw!I8</f>
        <v>0</v>
      </c>
      <c r="K22" s="728">
        <f>+landbouw!J8</f>
        <v>650.83905087329765</v>
      </c>
      <c r="L22" s="728">
        <f>+landbouw!K8</f>
        <v>0</v>
      </c>
      <c r="M22" s="728">
        <f>+landbouw!L8</f>
        <v>0</v>
      </c>
      <c r="N22" s="728">
        <f>+landbouw!M8</f>
        <v>0</v>
      </c>
      <c r="O22" s="728">
        <f>+landbouw!N8</f>
        <v>0</v>
      </c>
      <c r="P22" s="728">
        <f>+landbouw!O8</f>
        <v>0</v>
      </c>
      <c r="Q22" s="729">
        <f>+landbouw!P8</f>
        <v>0</v>
      </c>
      <c r="R22" s="730">
        <f>SUM(C22:Q22)</f>
        <v>101998.59027602161</v>
      </c>
      <c r="S22" s="67"/>
    </row>
    <row r="23" spans="1:19" s="475" customFormat="1" ht="17.25" thickTop="1" thickBot="1">
      <c r="A23" s="735" t="s">
        <v>116</v>
      </c>
      <c r="B23" s="865"/>
      <c r="C23" s="736">
        <f ca="1">C20+C15+C22</f>
        <v>190560.75951295043</v>
      </c>
      <c r="D23" s="736">
        <f t="shared" ref="D23:Q23" ca="1" si="2">D20+D15+D22</f>
        <v>92945.785714285696</v>
      </c>
      <c r="E23" s="736">
        <f t="shared" ca="1" si="2"/>
        <v>247487.37161093179</v>
      </c>
      <c r="F23" s="736">
        <f t="shared" si="2"/>
        <v>6161.831208966506</v>
      </c>
      <c r="G23" s="736">
        <f t="shared" ca="1" si="2"/>
        <v>29731.182347425427</v>
      </c>
      <c r="H23" s="736">
        <f t="shared" si="2"/>
        <v>142951.2674723361</v>
      </c>
      <c r="I23" s="736">
        <f t="shared" si="2"/>
        <v>24012.339482764131</v>
      </c>
      <c r="J23" s="736">
        <f t="shared" si="2"/>
        <v>0</v>
      </c>
      <c r="K23" s="736">
        <f t="shared" si="2"/>
        <v>865.58054948759673</v>
      </c>
      <c r="L23" s="736">
        <f t="shared" si="2"/>
        <v>0</v>
      </c>
      <c r="M23" s="736">
        <f t="shared" ca="1" si="2"/>
        <v>0</v>
      </c>
      <c r="N23" s="736">
        <f t="shared" si="2"/>
        <v>9004.5266822172653</v>
      </c>
      <c r="O23" s="736">
        <f t="shared" ca="1" si="2"/>
        <v>14025.077382660776</v>
      </c>
      <c r="P23" s="736">
        <f t="shared" si="2"/>
        <v>226.68333333333334</v>
      </c>
      <c r="Q23" s="737">
        <f t="shared" si="2"/>
        <v>838.93333333333339</v>
      </c>
      <c r="R23" s="738">
        <f ca="1">R20+R15+R22</f>
        <v>758811.33863069245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14208.310472420626</v>
      </c>
      <c r="D36" s="719">
        <f ca="1">tertiair!C20</f>
        <v>151.34263281139482</v>
      </c>
      <c r="E36" s="719">
        <f ca="1">tertiair!D20</f>
        <v>11334.106299643165</v>
      </c>
      <c r="F36" s="719">
        <f>tertiair!E20</f>
        <v>139.81603905121196</v>
      </c>
      <c r="G36" s="719">
        <f ca="1">tertiair!F20</f>
        <v>2525.5311373230361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28359.106581249434</v>
      </c>
    </row>
    <row r="37" spans="1:18">
      <c r="A37" s="886" t="s">
        <v>225</v>
      </c>
      <c r="B37" s="893"/>
      <c r="C37" s="719">
        <f ca="1">huishoudens!B12</f>
        <v>11104.555485189248</v>
      </c>
      <c r="D37" s="719">
        <f ca="1">huishoudens!C12</f>
        <v>0</v>
      </c>
      <c r="E37" s="719">
        <f>huishoudens!D12</f>
        <v>30474.875667725544</v>
      </c>
      <c r="F37" s="719">
        <f>huishoudens!E12</f>
        <v>632.02649914531196</v>
      </c>
      <c r="G37" s="719">
        <f>huishoudens!F12</f>
        <v>0</v>
      </c>
      <c r="H37" s="719">
        <f>huishoudens!G12</f>
        <v>0</v>
      </c>
      <c r="I37" s="719">
        <f>huishoudens!H12</f>
        <v>0</v>
      </c>
      <c r="J37" s="719">
        <f>huishoudens!I12</f>
        <v>0</v>
      </c>
      <c r="K37" s="719">
        <f>huishoudens!J12</f>
        <v>53.54220339578697</v>
      </c>
      <c r="L37" s="719">
        <f>huishoudens!K12</f>
        <v>0</v>
      </c>
      <c r="M37" s="719">
        <f>huishoudens!L12</f>
        <v>0</v>
      </c>
      <c r="N37" s="719">
        <f>huishoudens!M12</f>
        <v>0</v>
      </c>
      <c r="O37" s="719">
        <f>huishoudens!N12</f>
        <v>0</v>
      </c>
      <c r="P37" s="719">
        <f>huishoudens!O12</f>
        <v>0</v>
      </c>
      <c r="Q37" s="829">
        <f>huishoudens!P12</f>
        <v>0</v>
      </c>
      <c r="R37" s="918">
        <f ca="1">SUM(C37:Q37)</f>
        <v>42264.999855455899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9167.35110640731</v>
      </c>
      <c r="D39" s="719">
        <f ca="1">industrie!C22</f>
        <v>0</v>
      </c>
      <c r="E39" s="719">
        <f>industrie!D22</f>
        <v>7834.5664894463043</v>
      </c>
      <c r="F39" s="719">
        <f>industrie!E22</f>
        <v>525.54398804367531</v>
      </c>
      <c r="G39" s="719">
        <f>industrie!F22</f>
        <v>4537.3556832811801</v>
      </c>
      <c r="H39" s="719">
        <f>industrie!G22</f>
        <v>0</v>
      </c>
      <c r="I39" s="719">
        <f>industrie!H22</f>
        <v>0</v>
      </c>
      <c r="J39" s="719">
        <f>industrie!I22</f>
        <v>0</v>
      </c>
      <c r="K39" s="719">
        <f>industrie!J22</f>
        <v>22.476287113674925</v>
      </c>
      <c r="L39" s="719">
        <f>industrie!K22</f>
        <v>0</v>
      </c>
      <c r="M39" s="719">
        <f>industrie!L22</f>
        <v>0</v>
      </c>
      <c r="N39" s="719">
        <f>industrie!M22</f>
        <v>0</v>
      </c>
      <c r="O39" s="719">
        <f>industrie!N22</f>
        <v>0</v>
      </c>
      <c r="P39" s="719">
        <f>industrie!O22</f>
        <v>0</v>
      </c>
      <c r="Q39" s="829">
        <f>industrie!P22</f>
        <v>0</v>
      </c>
      <c r="R39" s="919">
        <f ca="1">SUM(C39:Q39)</f>
        <v>22087.293554292144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34480.217064017183</v>
      </c>
      <c r="D41" s="764">
        <f t="shared" ref="D41:R41" ca="1" si="4">SUM(D35:D40)</f>
        <v>151.34263281139482</v>
      </c>
      <c r="E41" s="764">
        <f t="shared" ca="1" si="4"/>
        <v>49643.548456815013</v>
      </c>
      <c r="F41" s="764">
        <f t="shared" si="4"/>
        <v>1297.3865262401991</v>
      </c>
      <c r="G41" s="764">
        <f t="shared" ca="1" si="4"/>
        <v>7062.8868206042162</v>
      </c>
      <c r="H41" s="764">
        <f t="shared" si="4"/>
        <v>0</v>
      </c>
      <c r="I41" s="764">
        <f t="shared" si="4"/>
        <v>0</v>
      </c>
      <c r="J41" s="764">
        <f t="shared" si="4"/>
        <v>0</v>
      </c>
      <c r="K41" s="764">
        <f t="shared" si="4"/>
        <v>76.018490509461898</v>
      </c>
      <c r="L41" s="764">
        <f t="shared" si="4"/>
        <v>0</v>
      </c>
      <c r="M41" s="764">
        <f t="shared" ca="1" si="4"/>
        <v>0</v>
      </c>
      <c r="N41" s="764">
        <f t="shared" si="4"/>
        <v>0</v>
      </c>
      <c r="O41" s="764">
        <f t="shared" ca="1" si="4"/>
        <v>0</v>
      </c>
      <c r="P41" s="764">
        <f t="shared" si="4"/>
        <v>0</v>
      </c>
      <c r="Q41" s="765">
        <f t="shared" si="4"/>
        <v>0</v>
      </c>
      <c r="R41" s="766">
        <f t="shared" ca="1" si="4"/>
        <v>92711.399990997481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1219.8732655825784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1219.8732655825784</v>
      </c>
    </row>
    <row r="45" spans="1:18" ht="15" thickBot="1">
      <c r="A45" s="889" t="s">
        <v>307</v>
      </c>
      <c r="B45" s="899"/>
      <c r="C45" s="728">
        <f ca="1">transport!B18</f>
        <v>4.7450599526822952</v>
      </c>
      <c r="D45" s="728">
        <f>transport!C18</f>
        <v>0</v>
      </c>
      <c r="E45" s="728">
        <f>transport!D18</f>
        <v>12.771513993299724</v>
      </c>
      <c r="F45" s="728">
        <f>transport!E18</f>
        <v>92.423297470188032</v>
      </c>
      <c r="G45" s="728">
        <f>transport!F18</f>
        <v>0</v>
      </c>
      <c r="H45" s="728">
        <f>transport!G18</f>
        <v>36948.115149531164</v>
      </c>
      <c r="I45" s="728">
        <f>transport!H18</f>
        <v>5979.0725312082686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43037.127552155609</v>
      </c>
    </row>
    <row r="46" spans="1:18" ht="15.75" thickBot="1">
      <c r="A46" s="887" t="s">
        <v>230</v>
      </c>
      <c r="B46" s="900"/>
      <c r="C46" s="764">
        <f t="shared" ref="C46:R46" ca="1" si="5">SUM(C43:C45)</f>
        <v>4.7450599526822952</v>
      </c>
      <c r="D46" s="764">
        <f t="shared" ca="1" si="5"/>
        <v>0</v>
      </c>
      <c r="E46" s="764">
        <f t="shared" si="5"/>
        <v>12.771513993299724</v>
      </c>
      <c r="F46" s="764">
        <f t="shared" si="5"/>
        <v>92.423297470188032</v>
      </c>
      <c r="G46" s="764">
        <f t="shared" si="5"/>
        <v>0</v>
      </c>
      <c r="H46" s="764">
        <f t="shared" si="5"/>
        <v>38167.988415113745</v>
      </c>
      <c r="I46" s="764">
        <f t="shared" si="5"/>
        <v>5979.0725312082686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44257.00081773819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785.74296226754257</v>
      </c>
      <c r="D48" s="719">
        <f ca="1">+landbouw!C12</f>
        <v>16899.154238368879</v>
      </c>
      <c r="E48" s="719">
        <f>+landbouw!D12</f>
        <v>336.12909459991477</v>
      </c>
      <c r="F48" s="719">
        <f>+landbouw!E12</f>
        <v>8.9258607250097235</v>
      </c>
      <c r="G48" s="719">
        <f>+landbouw!F12</f>
        <v>875.33886615837355</v>
      </c>
      <c r="H48" s="719">
        <f>+landbouw!G12</f>
        <v>0</v>
      </c>
      <c r="I48" s="719">
        <f>+landbouw!H12</f>
        <v>0</v>
      </c>
      <c r="J48" s="719">
        <f>+landbouw!I12</f>
        <v>0</v>
      </c>
      <c r="K48" s="719">
        <f>+landbouw!J12</f>
        <v>230.39702400914734</v>
      </c>
      <c r="L48" s="719">
        <f>+landbouw!K12</f>
        <v>0</v>
      </c>
      <c r="M48" s="719">
        <f>+landbouw!L12</f>
        <v>0</v>
      </c>
      <c r="N48" s="719">
        <f>+landbouw!M12</f>
        <v>0</v>
      </c>
      <c r="O48" s="719">
        <f>+landbouw!N12</f>
        <v>0</v>
      </c>
      <c r="P48" s="719">
        <f>+landbouw!O12</f>
        <v>0</v>
      </c>
      <c r="Q48" s="720">
        <f>+landbouw!P12</f>
        <v>0</v>
      </c>
      <c r="R48" s="762">
        <f ca="1">SUM(C48:Q48)</f>
        <v>19135.688046128864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35270.705086237409</v>
      </c>
      <c r="D53" s="774">
        <f t="shared" ref="D53:Q53" ca="1" si="6">D41+D46+D48</f>
        <v>17050.496871180276</v>
      </c>
      <c r="E53" s="774">
        <f t="shared" ca="1" si="6"/>
        <v>49992.449065408226</v>
      </c>
      <c r="F53" s="774">
        <f t="shared" si="6"/>
        <v>1398.7356844353969</v>
      </c>
      <c r="G53" s="774">
        <f t="shared" ca="1" si="6"/>
        <v>7938.2256867625892</v>
      </c>
      <c r="H53" s="774">
        <f t="shared" si="6"/>
        <v>38167.988415113745</v>
      </c>
      <c r="I53" s="774">
        <f t="shared" si="6"/>
        <v>5979.0725312082686</v>
      </c>
      <c r="J53" s="774">
        <f t="shared" si="6"/>
        <v>0</v>
      </c>
      <c r="K53" s="774">
        <f t="shared" si="6"/>
        <v>306.41551451860926</v>
      </c>
      <c r="L53" s="774">
        <f t="shared" si="6"/>
        <v>0</v>
      </c>
      <c r="M53" s="774">
        <f t="shared" ca="1" si="6"/>
        <v>0</v>
      </c>
      <c r="N53" s="774">
        <f t="shared" si="6"/>
        <v>0</v>
      </c>
      <c r="O53" s="774">
        <f t="shared" ca="1" si="6"/>
        <v>0</v>
      </c>
      <c r="P53" s="774">
        <f>P41+P46+P48</f>
        <v>0</v>
      </c>
      <c r="Q53" s="775">
        <f t="shared" si="6"/>
        <v>0</v>
      </c>
      <c r="R53" s="776">
        <f ca="1">R41+R46+R48</f>
        <v>156104.08885486453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0.18508902450003314</v>
      </c>
      <c r="D55" s="837">
        <f t="shared" ca="1" si="7"/>
        <v>0.18344561552896343</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9530.9710824890826</v>
      </c>
      <c r="C66" s="796">
        <f>'lokale energieproductie'!B6</f>
        <v>9530.9710824890826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67609.5</v>
      </c>
      <c r="C67" s="795">
        <f>B67*IFERROR(SUM(J67:L67)/SUM(D67:M67),0)</f>
        <v>16283.022646571679</v>
      </c>
      <c r="D67" s="827">
        <f>'lokale energieproductie'!C7</f>
        <v>57229.014691868499</v>
      </c>
      <c r="E67" s="828">
        <f>'lokale energieproductie'!D7</f>
        <v>0</v>
      </c>
      <c r="F67" s="828">
        <f>'lokale energieproductie'!E7</f>
        <v>3155.0763121648356</v>
      </c>
      <c r="G67" s="828">
        <f>'lokale energieproductie'!F7</f>
        <v>0</v>
      </c>
      <c r="H67" s="828">
        <f>'lokale energieproductie'!G7</f>
        <v>0</v>
      </c>
      <c r="I67" s="828">
        <f>'lokale energieproductie'!H7</f>
        <v>0</v>
      </c>
      <c r="J67" s="828">
        <f>'lokale energieproductie'!I7</f>
        <v>19156.497231260801</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12402.666343105449</v>
      </c>
      <c r="P67" s="923">
        <v>0</v>
      </c>
      <c r="Q67" s="786"/>
      <c r="R67" s="743"/>
    </row>
    <row r="68" spans="1:18" ht="30.75" thickBot="1">
      <c r="A68" s="802" t="s">
        <v>353</v>
      </c>
      <c r="B68" s="795">
        <f>'lokale energieproductie'!B8</f>
        <v>9945</v>
      </c>
      <c r="C68" s="795">
        <f>B68*IFERROR(SUM(J68:L68)/SUM(D68:M68),0)</f>
        <v>9945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28414.285714285717</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87085.471082489079</v>
      </c>
      <c r="C69" s="804">
        <f>SUM(C64:C68)</f>
        <v>35758.993729060763</v>
      </c>
      <c r="D69" s="805">
        <f t="shared" ref="D69:M69" si="8">SUM(D67:D68)</f>
        <v>57229.014691868499</v>
      </c>
      <c r="E69" s="805">
        <f t="shared" si="8"/>
        <v>0</v>
      </c>
      <c r="F69" s="805">
        <f t="shared" si="8"/>
        <v>3155.0763121648356</v>
      </c>
      <c r="G69" s="805">
        <f t="shared" si="8"/>
        <v>0</v>
      </c>
      <c r="H69" s="805">
        <f t="shared" si="8"/>
        <v>0</v>
      </c>
      <c r="I69" s="805">
        <f t="shared" si="8"/>
        <v>0</v>
      </c>
      <c r="J69" s="805">
        <f t="shared" si="8"/>
        <v>19156.497231260801</v>
      </c>
      <c r="K69" s="805">
        <f t="shared" si="8"/>
        <v>28414.285714285717</v>
      </c>
      <c r="L69" s="805">
        <f t="shared" si="8"/>
        <v>0</v>
      </c>
      <c r="M69" s="931">
        <f t="shared" si="8"/>
        <v>0</v>
      </c>
      <c r="N69" s="806">
        <v>0</v>
      </c>
      <c r="O69" s="806">
        <f>SUM(O67:O68)</f>
        <v>12402.666343105449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92945.785714285696</v>
      </c>
      <c r="C78" s="818">
        <f>B78*IFERROR(SUM(I78:L78)/SUM(D78:M78),0)</f>
        <v>22384.995210571178</v>
      </c>
      <c r="D78" s="833">
        <f>'lokale energieproductie'!C16</f>
        <v>78675.271022417233</v>
      </c>
      <c r="E78" s="833">
        <f>'lokale energieproductie'!D16</f>
        <v>0</v>
      </c>
      <c r="F78" s="833">
        <f>'lokale energieproductie'!E16</f>
        <v>4337.4236878351649</v>
      </c>
      <c r="G78" s="833">
        <f>'lokale energieproductie'!F16</f>
        <v>0</v>
      </c>
      <c r="H78" s="833">
        <f>'lokale energieproductie'!G16</f>
        <v>0</v>
      </c>
      <c r="I78" s="833">
        <f>'lokale energieproductie'!H16</f>
        <v>0</v>
      </c>
      <c r="J78" s="833">
        <f>'lokale energieproductie'!I16</f>
        <v>26335.288483024924</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17050.496871180272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92945.785714285696</v>
      </c>
      <c r="C81" s="804">
        <f>SUM(C78:C80)</f>
        <v>22384.995210571178</v>
      </c>
      <c r="D81" s="804">
        <f t="shared" ref="D81:P81" si="9">SUM(D78:D80)</f>
        <v>78675.271022417233</v>
      </c>
      <c r="E81" s="804">
        <f t="shared" si="9"/>
        <v>0</v>
      </c>
      <c r="F81" s="804">
        <f t="shared" si="9"/>
        <v>4337.4236878351649</v>
      </c>
      <c r="G81" s="804">
        <f t="shared" si="9"/>
        <v>0</v>
      </c>
      <c r="H81" s="804">
        <f t="shared" si="9"/>
        <v>0</v>
      </c>
      <c r="I81" s="804">
        <f t="shared" si="9"/>
        <v>0</v>
      </c>
      <c r="J81" s="804">
        <f t="shared" si="9"/>
        <v>26335.288483024924</v>
      </c>
      <c r="K81" s="804">
        <f t="shared" si="9"/>
        <v>0</v>
      </c>
      <c r="L81" s="804">
        <f t="shared" si="9"/>
        <v>0</v>
      </c>
      <c r="M81" s="804">
        <f t="shared" si="9"/>
        <v>0</v>
      </c>
      <c r="N81" s="804">
        <v>0</v>
      </c>
      <c r="O81" s="804">
        <f>SUM(O78:O80)</f>
        <v>17050.496871180272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59995.753476928934</v>
      </c>
      <c r="C4" s="479">
        <f>huishoudens!C8</f>
        <v>0</v>
      </c>
      <c r="D4" s="479">
        <f>huishoudens!D8</f>
        <v>150865.72112735416</v>
      </c>
      <c r="E4" s="479">
        <f>huishoudens!E8</f>
        <v>2784.2577054859557</v>
      </c>
      <c r="F4" s="479">
        <f>huishoudens!F8</f>
        <v>0</v>
      </c>
      <c r="G4" s="479">
        <f>huishoudens!G8</f>
        <v>0</v>
      </c>
      <c r="H4" s="479">
        <f>huishoudens!H8</f>
        <v>0</v>
      </c>
      <c r="I4" s="479">
        <f>huishoudens!I8</f>
        <v>0</v>
      </c>
      <c r="J4" s="479">
        <f>huishoudens!J8</f>
        <v>151.24916213499145</v>
      </c>
      <c r="K4" s="479">
        <f>huishoudens!K8</f>
        <v>0</v>
      </c>
      <c r="L4" s="479">
        <f>huishoudens!L8</f>
        <v>0</v>
      </c>
      <c r="M4" s="479">
        <f>huishoudens!M8</f>
        <v>0</v>
      </c>
      <c r="N4" s="479">
        <f>huishoudens!N8</f>
        <v>8060.8904127529659</v>
      </c>
      <c r="O4" s="479">
        <f>huishoudens!O8</f>
        <v>223.55666666666667</v>
      </c>
      <c r="P4" s="480">
        <f>huishoudens!P8</f>
        <v>743.6</v>
      </c>
      <c r="Q4" s="481">
        <f>SUM(B4:P4)</f>
        <v>222825.02855132369</v>
      </c>
    </row>
    <row r="5" spans="1:17">
      <c r="A5" s="478" t="s">
        <v>156</v>
      </c>
      <c r="B5" s="479">
        <f ca="1">tertiair!B16</f>
        <v>74448.091</v>
      </c>
      <c r="C5" s="479">
        <f ca="1">tertiair!C16</f>
        <v>825</v>
      </c>
      <c r="D5" s="479">
        <f ca="1">tertiair!D16</f>
        <v>56109.437126946352</v>
      </c>
      <c r="E5" s="479">
        <f>tertiair!E16</f>
        <v>615.92968745027292</v>
      </c>
      <c r="F5" s="479">
        <f ca="1">tertiair!F16</f>
        <v>9458.9181173147408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95.333333333333343</v>
      </c>
      <c r="Q5" s="478">
        <f t="shared" ref="Q5:Q13" ca="1" si="0">SUM(B5:P5)</f>
        <v>141555.83593171139</v>
      </c>
    </row>
    <row r="6" spans="1:17">
      <c r="A6" s="478" t="s">
        <v>194</v>
      </c>
      <c r="B6" s="479">
        <f>'openbare verlichting'!B8</f>
        <v>2316.6469999999999</v>
      </c>
      <c r="C6" s="479"/>
      <c r="D6" s="479"/>
      <c r="E6" s="479"/>
      <c r="F6" s="479"/>
      <c r="G6" s="479"/>
      <c r="H6" s="479"/>
      <c r="I6" s="479"/>
      <c r="J6" s="479"/>
      <c r="K6" s="479"/>
      <c r="L6" s="479"/>
      <c r="M6" s="479"/>
      <c r="N6" s="479"/>
      <c r="O6" s="479"/>
      <c r="P6" s="480"/>
      <c r="Q6" s="478">
        <f t="shared" si="0"/>
        <v>2316.6469999999999</v>
      </c>
    </row>
    <row r="7" spans="1:17">
      <c r="A7" s="478" t="s">
        <v>112</v>
      </c>
      <c r="B7" s="479">
        <f>landbouw!B8</f>
        <v>4245.2164000000002</v>
      </c>
      <c r="C7" s="479">
        <f>landbouw!C8</f>
        <v>92120.785714285696</v>
      </c>
      <c r="D7" s="479">
        <f>landbouw!D8</f>
        <v>1664.0054188114591</v>
      </c>
      <c r="E7" s="479">
        <f>landbouw!E8</f>
        <v>39.320972356871025</v>
      </c>
      <c r="F7" s="479">
        <f>landbouw!F8</f>
        <v>3278.4227196942829</v>
      </c>
      <c r="G7" s="479">
        <f>landbouw!G8</f>
        <v>0</v>
      </c>
      <c r="H7" s="479">
        <f>landbouw!H8</f>
        <v>0</v>
      </c>
      <c r="I7" s="479">
        <f>landbouw!I8</f>
        <v>0</v>
      </c>
      <c r="J7" s="479">
        <f>landbouw!J8</f>
        <v>650.83905087329765</v>
      </c>
      <c r="K7" s="479">
        <f>landbouw!K8</f>
        <v>0</v>
      </c>
      <c r="L7" s="479">
        <f>landbouw!L8</f>
        <v>0</v>
      </c>
      <c r="M7" s="479">
        <f>landbouw!M8</f>
        <v>0</v>
      </c>
      <c r="N7" s="479">
        <f>landbouw!N8</f>
        <v>0</v>
      </c>
      <c r="O7" s="479">
        <f>landbouw!O8</f>
        <v>0</v>
      </c>
      <c r="P7" s="480">
        <f>landbouw!P8</f>
        <v>0</v>
      </c>
      <c r="Q7" s="478">
        <f t="shared" si="0"/>
        <v>101998.59027602161</v>
      </c>
    </row>
    <row r="8" spans="1:17">
      <c r="A8" s="478" t="s">
        <v>650</v>
      </c>
      <c r="B8" s="479">
        <f>industrie!B18</f>
        <v>49529.415000000001</v>
      </c>
      <c r="C8" s="479">
        <f>industrie!C18</f>
        <v>0</v>
      </c>
      <c r="D8" s="479">
        <f>industrie!D18</f>
        <v>38784.982621021307</v>
      </c>
      <c r="E8" s="479">
        <f>industrie!E18</f>
        <v>2315.1717534963668</v>
      </c>
      <c r="F8" s="479">
        <f>industrie!F18</f>
        <v>16993.841510416405</v>
      </c>
      <c r="G8" s="479">
        <f>industrie!G18</f>
        <v>0</v>
      </c>
      <c r="H8" s="479">
        <f>industrie!H18</f>
        <v>0</v>
      </c>
      <c r="I8" s="479">
        <f>industrie!I18</f>
        <v>0</v>
      </c>
      <c r="J8" s="479">
        <f>industrie!J18</f>
        <v>63.492336479307696</v>
      </c>
      <c r="K8" s="479">
        <f>industrie!K18</f>
        <v>0</v>
      </c>
      <c r="L8" s="479">
        <f>industrie!L18</f>
        <v>0</v>
      </c>
      <c r="M8" s="479">
        <f>industrie!M18</f>
        <v>0</v>
      </c>
      <c r="N8" s="479">
        <f>industrie!N18</f>
        <v>5964.1869699078106</v>
      </c>
      <c r="O8" s="479">
        <f>industrie!O18</f>
        <v>0</v>
      </c>
      <c r="P8" s="480">
        <f>industrie!P18</f>
        <v>0</v>
      </c>
      <c r="Q8" s="478">
        <f t="shared" si="0"/>
        <v>113651.0901913212</v>
      </c>
    </row>
    <row r="9" spans="1:17" s="484" customFormat="1">
      <c r="A9" s="482" t="s">
        <v>571</v>
      </c>
      <c r="B9" s="483">
        <f>transport!B14</f>
        <v>25.636636021502429</v>
      </c>
      <c r="C9" s="483">
        <f>transport!C14</f>
        <v>0</v>
      </c>
      <c r="D9" s="483">
        <f>transport!D14</f>
        <v>63.225316798513482</v>
      </c>
      <c r="E9" s="483">
        <f>transport!E14</f>
        <v>407.1510901770398</v>
      </c>
      <c r="F9" s="483">
        <f>transport!F14</f>
        <v>0</v>
      </c>
      <c r="G9" s="483">
        <f>transport!G14</f>
        <v>138382.45374356239</v>
      </c>
      <c r="H9" s="483">
        <f>transport!H14</f>
        <v>24012.339482764131</v>
      </c>
      <c r="I9" s="483">
        <f>transport!I14</f>
        <v>0</v>
      </c>
      <c r="J9" s="483">
        <f>transport!J14</f>
        <v>0</v>
      </c>
      <c r="K9" s="483">
        <f>transport!K14</f>
        <v>0</v>
      </c>
      <c r="L9" s="483">
        <f>transport!L14</f>
        <v>0</v>
      </c>
      <c r="M9" s="483">
        <f>transport!M14</f>
        <v>8743.9805540767993</v>
      </c>
      <c r="N9" s="483">
        <f>transport!N14</f>
        <v>0</v>
      </c>
      <c r="O9" s="483">
        <f>transport!O14</f>
        <v>0</v>
      </c>
      <c r="P9" s="483">
        <f>transport!P14</f>
        <v>0</v>
      </c>
      <c r="Q9" s="482">
        <f>SUM(B9:P9)</f>
        <v>171634.78682340035</v>
      </c>
    </row>
    <row r="10" spans="1:17">
      <c r="A10" s="478" t="s">
        <v>561</v>
      </c>
      <c r="B10" s="479">
        <f>transport!B54</f>
        <v>0</v>
      </c>
      <c r="C10" s="479">
        <f>transport!C54</f>
        <v>0</v>
      </c>
      <c r="D10" s="479">
        <f>transport!D54</f>
        <v>0</v>
      </c>
      <c r="E10" s="479">
        <f>transport!E54</f>
        <v>0</v>
      </c>
      <c r="F10" s="479">
        <f>transport!F54</f>
        <v>0</v>
      </c>
      <c r="G10" s="479">
        <f>transport!G54</f>
        <v>4568.8137287737018</v>
      </c>
      <c r="H10" s="479">
        <f>transport!H54</f>
        <v>0</v>
      </c>
      <c r="I10" s="479">
        <f>transport!I54</f>
        <v>0</v>
      </c>
      <c r="J10" s="479">
        <f>transport!J54</f>
        <v>0</v>
      </c>
      <c r="K10" s="479">
        <f>transport!K54</f>
        <v>0</v>
      </c>
      <c r="L10" s="479">
        <f>transport!L54</f>
        <v>0</v>
      </c>
      <c r="M10" s="479">
        <f>transport!M54</f>
        <v>260.54612814046607</v>
      </c>
      <c r="N10" s="479">
        <f>transport!N54</f>
        <v>0</v>
      </c>
      <c r="O10" s="479">
        <f>transport!O54</f>
        <v>0</v>
      </c>
      <c r="P10" s="480">
        <f>transport!P54</f>
        <v>0</v>
      </c>
      <c r="Q10" s="478">
        <f t="shared" si="0"/>
        <v>4829.3598569141677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190560.75951295043</v>
      </c>
      <c r="C14" s="489">
        <f t="shared" ref="C14:Q14" ca="1" si="1">SUM(C4:C13)</f>
        <v>92945.785714285696</v>
      </c>
      <c r="D14" s="489">
        <f t="shared" ca="1" si="1"/>
        <v>247487.37161093179</v>
      </c>
      <c r="E14" s="489">
        <f t="shared" si="1"/>
        <v>6161.8312089665069</v>
      </c>
      <c r="F14" s="489">
        <f t="shared" ca="1" si="1"/>
        <v>29731.182347425427</v>
      </c>
      <c r="G14" s="489">
        <f t="shared" si="1"/>
        <v>142951.2674723361</v>
      </c>
      <c r="H14" s="489">
        <f t="shared" si="1"/>
        <v>24012.339482764131</v>
      </c>
      <c r="I14" s="489">
        <f t="shared" si="1"/>
        <v>0</v>
      </c>
      <c r="J14" s="489">
        <f t="shared" si="1"/>
        <v>865.58054948759684</v>
      </c>
      <c r="K14" s="489">
        <f t="shared" si="1"/>
        <v>0</v>
      </c>
      <c r="L14" s="489">
        <f t="shared" ca="1" si="1"/>
        <v>0</v>
      </c>
      <c r="M14" s="489">
        <f t="shared" si="1"/>
        <v>9004.5266822172653</v>
      </c>
      <c r="N14" s="489">
        <f t="shared" ca="1" si="1"/>
        <v>14025.077382660776</v>
      </c>
      <c r="O14" s="489">
        <f t="shared" si="1"/>
        <v>226.68333333333334</v>
      </c>
      <c r="P14" s="490">
        <f t="shared" si="1"/>
        <v>838.93333333333339</v>
      </c>
      <c r="Q14" s="490">
        <f t="shared" ca="1" si="1"/>
        <v>758811.33863069245</v>
      </c>
    </row>
    <row r="16" spans="1:17">
      <c r="A16" s="492" t="s">
        <v>566</v>
      </c>
      <c r="B16" s="842">
        <f ca="1">huishoudens!B10</f>
        <v>0.18508902450003314</v>
      </c>
      <c r="C16" s="842">
        <f ca="1">huishoudens!C10</f>
        <v>0.18344561552896341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11104.555485189248</v>
      </c>
      <c r="C21" s="479">
        <f t="shared" ref="C21:C30" ca="1" si="3">C4*$C$16</f>
        <v>0</v>
      </c>
      <c r="D21" s="479">
        <f t="shared" ref="D21:D30" si="4">D4*$D$16</f>
        <v>30474.875667725544</v>
      </c>
      <c r="E21" s="479">
        <f t="shared" ref="E21:E30" si="5">E4*$E$16</f>
        <v>632.02649914531196</v>
      </c>
      <c r="F21" s="479">
        <f t="shared" ref="F21:F30" si="6">F4*$F$16</f>
        <v>0</v>
      </c>
      <c r="G21" s="479">
        <f t="shared" ref="G21:G30" si="7">G4*$G$16</f>
        <v>0</v>
      </c>
      <c r="H21" s="479">
        <f t="shared" ref="H21:H30" si="8">H4*$H$16</f>
        <v>0</v>
      </c>
      <c r="I21" s="479">
        <f t="shared" ref="I21:I30" si="9">I4*$I$16</f>
        <v>0</v>
      </c>
      <c r="J21" s="479">
        <f t="shared" ref="J21:J30" si="10">J4*$J$16</f>
        <v>53.54220339578697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42264.999855455899</v>
      </c>
    </row>
    <row r="22" spans="1:17">
      <c r="A22" s="478" t="s">
        <v>156</v>
      </c>
      <c r="B22" s="479">
        <f t="shared" ca="1" si="2"/>
        <v>13779.524539079697</v>
      </c>
      <c r="C22" s="479">
        <f t="shared" ca="1" si="3"/>
        <v>151.34263281139482</v>
      </c>
      <c r="D22" s="479">
        <f t="shared" ca="1" si="4"/>
        <v>11334.106299643165</v>
      </c>
      <c r="E22" s="479">
        <f t="shared" si="5"/>
        <v>139.81603905121196</v>
      </c>
      <c r="F22" s="479">
        <f t="shared" ca="1" si="6"/>
        <v>2525.5311373230361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27930.320647908506</v>
      </c>
    </row>
    <row r="23" spans="1:17">
      <c r="A23" s="478" t="s">
        <v>194</v>
      </c>
      <c r="B23" s="479">
        <f t="shared" ca="1" si="2"/>
        <v>428.7859333409283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428.7859333409283</v>
      </c>
    </row>
    <row r="24" spans="1:17">
      <c r="A24" s="478" t="s">
        <v>112</v>
      </c>
      <c r="B24" s="479">
        <f t="shared" ca="1" si="2"/>
        <v>785.74296226754257</v>
      </c>
      <c r="C24" s="479">
        <f t="shared" ca="1" si="3"/>
        <v>16899.154238368879</v>
      </c>
      <c r="D24" s="479">
        <f t="shared" si="4"/>
        <v>336.12909459991477</v>
      </c>
      <c r="E24" s="479">
        <f t="shared" si="5"/>
        <v>8.9258607250097235</v>
      </c>
      <c r="F24" s="479">
        <f t="shared" si="6"/>
        <v>875.33886615837355</v>
      </c>
      <c r="G24" s="479">
        <f t="shared" si="7"/>
        <v>0</v>
      </c>
      <c r="H24" s="479">
        <f t="shared" si="8"/>
        <v>0</v>
      </c>
      <c r="I24" s="479">
        <f t="shared" si="9"/>
        <v>0</v>
      </c>
      <c r="J24" s="479">
        <f t="shared" si="10"/>
        <v>230.39702400914734</v>
      </c>
      <c r="K24" s="479">
        <f t="shared" si="11"/>
        <v>0</v>
      </c>
      <c r="L24" s="479">
        <f t="shared" si="12"/>
        <v>0</v>
      </c>
      <c r="M24" s="479">
        <f t="shared" si="13"/>
        <v>0</v>
      </c>
      <c r="N24" s="479">
        <f t="shared" si="14"/>
        <v>0</v>
      </c>
      <c r="O24" s="479">
        <f t="shared" si="15"/>
        <v>0</v>
      </c>
      <c r="P24" s="480">
        <f t="shared" si="16"/>
        <v>0</v>
      </c>
      <c r="Q24" s="478">
        <f t="shared" ca="1" si="17"/>
        <v>19135.688046128864</v>
      </c>
    </row>
    <row r="25" spans="1:17">
      <c r="A25" s="478" t="s">
        <v>650</v>
      </c>
      <c r="B25" s="479">
        <f t="shared" ca="1" si="2"/>
        <v>9167.35110640731</v>
      </c>
      <c r="C25" s="479">
        <f t="shared" ca="1" si="3"/>
        <v>0</v>
      </c>
      <c r="D25" s="479">
        <f t="shared" si="4"/>
        <v>7834.5664894463043</v>
      </c>
      <c r="E25" s="479">
        <f t="shared" si="5"/>
        <v>525.54398804367531</v>
      </c>
      <c r="F25" s="479">
        <f t="shared" si="6"/>
        <v>4537.3556832811801</v>
      </c>
      <c r="G25" s="479">
        <f t="shared" si="7"/>
        <v>0</v>
      </c>
      <c r="H25" s="479">
        <f t="shared" si="8"/>
        <v>0</v>
      </c>
      <c r="I25" s="479">
        <f t="shared" si="9"/>
        <v>0</v>
      </c>
      <c r="J25" s="479">
        <f t="shared" si="10"/>
        <v>22.476287113674925</v>
      </c>
      <c r="K25" s="479">
        <f t="shared" si="11"/>
        <v>0</v>
      </c>
      <c r="L25" s="479">
        <f t="shared" si="12"/>
        <v>0</v>
      </c>
      <c r="M25" s="479">
        <f t="shared" si="13"/>
        <v>0</v>
      </c>
      <c r="N25" s="479">
        <f t="shared" si="14"/>
        <v>0</v>
      </c>
      <c r="O25" s="479">
        <f t="shared" si="15"/>
        <v>0</v>
      </c>
      <c r="P25" s="480">
        <f t="shared" si="16"/>
        <v>0</v>
      </c>
      <c r="Q25" s="478">
        <f t="shared" ca="1" si="17"/>
        <v>22087.293554292144</v>
      </c>
    </row>
    <row r="26" spans="1:17" s="484" customFormat="1">
      <c r="A26" s="482" t="s">
        <v>571</v>
      </c>
      <c r="B26" s="836">
        <f t="shared" ca="1" si="2"/>
        <v>4.7450599526822952</v>
      </c>
      <c r="C26" s="483">
        <f t="shared" ca="1" si="3"/>
        <v>0</v>
      </c>
      <c r="D26" s="483">
        <f t="shared" si="4"/>
        <v>12.771513993299724</v>
      </c>
      <c r="E26" s="483">
        <f t="shared" si="5"/>
        <v>92.423297470188032</v>
      </c>
      <c r="F26" s="483">
        <f t="shared" si="6"/>
        <v>0</v>
      </c>
      <c r="G26" s="483">
        <f t="shared" si="7"/>
        <v>36948.115149531164</v>
      </c>
      <c r="H26" s="483">
        <f t="shared" si="8"/>
        <v>5979.0725312082686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43037.127552155609</v>
      </c>
    </row>
    <row r="27" spans="1:17">
      <c r="A27" s="478" t="s">
        <v>561</v>
      </c>
      <c r="B27" s="479">
        <f t="shared" ca="1" si="2"/>
        <v>0</v>
      </c>
      <c r="C27" s="479">
        <f t="shared" ca="1" si="3"/>
        <v>0</v>
      </c>
      <c r="D27" s="479">
        <f t="shared" si="4"/>
        <v>0</v>
      </c>
      <c r="E27" s="479">
        <f t="shared" si="5"/>
        <v>0</v>
      </c>
      <c r="F27" s="479">
        <f t="shared" si="6"/>
        <v>0</v>
      </c>
      <c r="G27" s="479">
        <f t="shared" si="7"/>
        <v>1219.8732655825784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1219.8732655825784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35270.705086237409</v>
      </c>
      <c r="C31" s="489">
        <f t="shared" ca="1" si="18"/>
        <v>17050.496871180276</v>
      </c>
      <c r="D31" s="489">
        <f t="shared" ca="1" si="18"/>
        <v>49992.449065408226</v>
      </c>
      <c r="E31" s="489">
        <f t="shared" si="18"/>
        <v>1398.7356844353972</v>
      </c>
      <c r="F31" s="489">
        <f t="shared" ca="1" si="18"/>
        <v>7938.2256867625892</v>
      </c>
      <c r="G31" s="489">
        <f t="shared" si="18"/>
        <v>38167.988415113745</v>
      </c>
      <c r="H31" s="489">
        <f t="shared" si="18"/>
        <v>5979.0725312082686</v>
      </c>
      <c r="I31" s="489">
        <f t="shared" si="18"/>
        <v>0</v>
      </c>
      <c r="J31" s="489">
        <f t="shared" si="18"/>
        <v>306.4155145186092</v>
      </c>
      <c r="K31" s="489">
        <f t="shared" si="18"/>
        <v>0</v>
      </c>
      <c r="L31" s="489">
        <f t="shared" ca="1" si="18"/>
        <v>0</v>
      </c>
      <c r="M31" s="489">
        <f t="shared" si="18"/>
        <v>0</v>
      </c>
      <c r="N31" s="489">
        <f t="shared" ca="1" si="18"/>
        <v>0</v>
      </c>
      <c r="O31" s="489">
        <f t="shared" si="18"/>
        <v>0</v>
      </c>
      <c r="P31" s="490">
        <f t="shared" si="18"/>
        <v>0</v>
      </c>
      <c r="Q31" s="490">
        <f t="shared" ca="1" si="18"/>
        <v>156104.08885486453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0.18508902450003314</v>
      </c>
      <c r="C17" s="529">
        <f ca="1">'EF ele_warmte'!B22</f>
        <v>0.18344561552896341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0.18508902450003314</v>
      </c>
      <c r="C17" s="529">
        <f ca="1">'EF ele_warmte'!B22</f>
        <v>0.18344561552896341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0.18508902450003314</v>
      </c>
      <c r="C29" s="530">
        <f ca="1">'EF ele_warmte'!B22</f>
        <v>0.18344561552896341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2018-06-27T09:34:44Z</dcterms:modified>
</cp:coreProperties>
</file>