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D16" i="16"/>
  <c r="C16" i="15"/>
  <c r="L6" i="17"/>
  <c r="L5" s="1"/>
  <c r="D6"/>
  <c r="D8"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J15" i="14"/>
  <c r="N8" i="17"/>
  <c r="O22" i="14" s="1"/>
  <c r="B35" i="13"/>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E13"/>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29" i="20" l="1"/>
  <c r="C17" i="19"/>
  <c r="C19" s="1"/>
  <c r="D35" i="14" s="1"/>
  <c r="C18" i="15"/>
  <c r="C20" s="1"/>
  <c r="D36" i="14" s="1"/>
  <c r="C10" i="13"/>
  <c r="C16" i="48" s="1"/>
  <c r="C30" s="1"/>
  <c r="C10" i="17"/>
  <c r="C12" s="1"/>
  <c r="D48" i="14" s="1"/>
  <c r="C20" i="16"/>
  <c r="C22" s="1"/>
  <c r="D39" i="14" s="1"/>
  <c r="C16" i="22"/>
  <c r="C56"/>
  <c r="C58" s="1"/>
  <c r="D44" i="14" s="1"/>
  <c r="D46" s="1"/>
  <c r="C17" i="49"/>
  <c r="N25" i="48"/>
  <c r="N14"/>
  <c r="K13" i="14"/>
  <c r="N22" i="16"/>
  <c r="O39" i="14" s="1"/>
  <c r="O41" s="1"/>
  <c r="N31" i="48"/>
  <c r="O13" i="14"/>
  <c r="O15" s="1"/>
  <c r="E14" i="48"/>
  <c r="K15" i="14"/>
  <c r="K23" s="1"/>
  <c r="K55" s="1"/>
  <c r="H55"/>
  <c r="E55"/>
  <c r="C78"/>
  <c r="C81" s="1"/>
  <c r="J14" i="48"/>
  <c r="J31"/>
  <c r="Q8"/>
  <c r="Q14" s="1"/>
  <c r="R19" i="14"/>
  <c r="R20" s="1"/>
  <c r="H14" i="48"/>
  <c r="G31"/>
  <c r="H26"/>
  <c r="H31" s="1"/>
  <c r="F55" i="14"/>
  <c r="O53"/>
  <c r="G53"/>
  <c r="G55" s="1"/>
  <c r="O69" s="1"/>
  <c r="B9" i="6" s="1"/>
  <c r="B12" s="1"/>
  <c r="M53" i="14"/>
  <c r="M55" s="1"/>
  <c r="C12" i="13"/>
  <c r="D37" i="14" s="1"/>
  <c r="C23" i="48"/>
  <c r="C24"/>
  <c r="C27"/>
  <c r="C28"/>
  <c r="C25"/>
  <c r="C29"/>
  <c r="C21"/>
  <c r="C26"/>
  <c r="F25"/>
  <c r="F31" s="1"/>
  <c r="F14"/>
  <c r="D41" i="14" l="1"/>
  <c r="R13"/>
  <c r="R15" s="1"/>
  <c r="C22"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<sst xmlns="http://schemas.openxmlformats.org/spreadsheetml/2006/main" count="1968" uniqueCount="846">
  <si>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</si>
  <si>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</si>
  <si>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</si>
  <si>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</si>
  <si>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</si>
  <si>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</si>
  <si>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</si>
  <si>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</si>
  <si>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</si>
  <si>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</si>
  <si>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</si>
  <si>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</si>
  <si>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</si>
  <si>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</si>
  <si>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</si>
  <si>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</si>
  <si>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</si>
  <si>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</si>
  <si>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</si>
  <si>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</si>
  <si>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</si>
  <si>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</si>
  <si>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</si>
  <si>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</si>
  <si>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</si>
  <si>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</si>
  <si>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</si>
  <si>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</si>
  <si>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</si>
  <si>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</si>
  <si>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</si>
  <si>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</si>
  <si>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</si>
  <si>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</si>
  <si>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</si>
  <si>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</si>
  <si>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</si>
  <si>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</si>
  <si>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</si>
  <si>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</si>
  <si>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</si>
  <si>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</si>
  <si>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</si>
  <si>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</si>
  <si>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</si>
  <si>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</si>
  <si>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</si>
  <si>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</si>
  <si>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</si>
  <si>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</si>
  <si>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</si>
  <si>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</si>
  <si>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</si>
  <si>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</si>
  <si>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</si>
  <si>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</si>
  <si>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</si>
  <si>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</si>
  <si>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</si>
  <si>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</si>
  <si>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</si>
  <si>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</si>
  <si>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</si>
  <si>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</si>
  <si>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</si>
  <si>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</si>
  <si>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</si>
  <si>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</si>
  <si>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</si>
  <si>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</si>
  <si>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</si>
  <si>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</si>
  <si>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</si>
  <si>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</si>
  <si>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</si>
  <si>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</si>
  <si>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</si>
  <si>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</si>
  <si>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</si>
  <si>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</si>
  <si>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</si>
  <si>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</si>
  <si>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</si>
  <si>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</si>
  <si>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</si>
  <si>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</si>
  <si>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</si>
  <si>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</si>
  <si>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</si>
  <si>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</si>
  <si>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</si>
  <si>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</si>
  <si>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</si>
  <si>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</si>
  <si>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</si>
  <si>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</si>
  <si>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</si>
  <si>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</si>
  <si>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</si>
  <si>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</si>
  <si>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</si>
  <si>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</si>
  <si>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</si>
  <si>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</si>
  <si>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</si>
  <si>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</si>
  <si>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</si>
  <si>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</si>
  <si>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</si>
  <si>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</si>
  <si>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</si>
  <si>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</si>
  <si>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</si>
  <si>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</si>
  <si>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</si>
  <si>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</si>
  <si>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</si>
  <si>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</si>
  <si>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</si>
  <si>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</si>
  <si>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</si>
  <si>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</si>
  <si>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</si>
  <si>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</si>
  <si>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</si>
  <si>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</si>
  <si>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</si>
  <si>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</si>
  <si>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</si>
  <si>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</si>
  <si>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</si>
  <si>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</si>
  <si>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</si>
  <si>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</si>
  <si>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</si>
  <si>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</si>
  <si>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</si>
  <si>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</si>
  <si>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</si>
  <si>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</si>
  <si>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</si>
  <si>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</si>
  <si>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</si>
  <si>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</si>
  <si>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</si>
  <si>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</si>
  <si>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</si>
  <si>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</si>
  <si>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</si>
  <si>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</si>
  <si>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</si>
  <si>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</si>
  <si>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</si>
  <si>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</si>
  <si>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</si>
  <si>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</si>
  <si>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</si>
  <si>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</si>
  <si>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</si>
  <si>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</si>
  <si>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</si>
  <si>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</si>
  <si>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</si>
  <si>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</si>
  <si>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</si>
  <si>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</si>
  <si>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</si>
  <si>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</si>
  <si>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</si>
  <si>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</si>
  <si>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</si>
  <si>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</si>
  <si>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</si>
  <si>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</si>
  <si>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</si>
  <si>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</si>
  <si>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</si>
  <si>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</si>
  <si>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</si>
  <si>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</si>
  <si>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</si>
  <si>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</si>
  <si>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</si>
  <si>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</si>
  <si>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</si>
  <si>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</si>
  <si>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</si>
  <si>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</si>
  <si>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</si>
  <si>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</si>
  <si>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</si>
  <si>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</si>
  <si>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</si>
  <si>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</si>
  <si>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</si>
  <si>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</si>
  <si>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</si>
  <si>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</si>
  <si>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</si>
  <si>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</si>
  <si>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</si>
  <si>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</si>
  <si>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</si>
  <si>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</si>
  <si>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</si>
  <si>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</si>
  <si>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</si>
  <si>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</si>
  <si>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</si>
  <si>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</si>
  <si>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</si>
  <si>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</si>
  <si>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</si>
  <si>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</si>
  <si>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</si>
  <si>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</si>
  <si>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</si>
  <si>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</si>
  <si>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</si>
  <si>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</si>
  <si>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</si>
  <si>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</si>
  <si>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</si>
  <si>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</si>
  <si>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</si>
  <si>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</si>
  <si>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</si>
  <si>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</si>
  <si>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</si>
  <si>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</si>
  <si>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</si>
  <si>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</si>
  <si>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</si>
  <si>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</si>
  <si>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</si>
  <si>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</si>
  <si>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</si>
  <si>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</si>
  <si>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</si>
  <si>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</si>
  <si>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</si>
  <si>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</si>
  <si>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</si>
  <si>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</si>
  <si>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</si>
  <si>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</si>
  <si>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</si>
  <si>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</si>
  <si>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</si>
  <si>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</si>
  <si>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</si>
  <si>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</si>
  <si>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</si>
  <si>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</si>
  <si>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</si>
  <si>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</si>
  <si>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</si>
  <si>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</si>
  <si>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</si>
  <si>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</si>
  <si>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</si>
  <si>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</si>
  <si>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</si>
  <si>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</si>
  <si>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</si>
  <si>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</si>
  <si>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</si>
  <si>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</si>
  <si>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</si>
  <si>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</si>
  <si>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</si>
  <si>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</si>
  <si>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</si>
  <si>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</si>
  <si>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</si>
  <si>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</si>
  <si>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</si>
  <si>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</si>
  <si>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</si>
  <si>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</si>
  <si>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</si>
  <si>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</si>
  <si>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</si>
  <si>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</si>
  <si>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</si>
  <si>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</si>
  <si>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</si>
  <si>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</si>
  <si>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</si>
  <si>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</si>
  <si>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</si>
  <si>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</si>
  <si>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</si>
  <si>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</si>
  <si>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</si>
  <si>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</si>
  <si>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</si>
  <si>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</si>
  <si>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</si>
  <si>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</si>
  <si>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</si>
  <si>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</si>
  <si>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</si>
  <si>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</si>
  <si>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</si>
  <si>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</si>
  <si>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</si>
  <si>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</si>
  <si>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</si>
  <si>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</si>
  <si>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</si>
  <si>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</si>
  <si>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</si>
  <si>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</si>
  <si>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</si>
  <si>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</si>
  <si>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</si>
  <si>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</si>
  <si>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</si>
  <si>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</si>
  <si>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</si>
  <si>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</si>
  <si>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</si>
  <si>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</si>
  <si>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</si>
  <si>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</si>
  <si>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</si>
  <si>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</si>
  <si>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</si>
  <si>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</si>
  <si>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</si>
  <si>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</si>
  <si>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</si>
  <si>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</si>
  <si>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</si>
  <si>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</si>
  <si>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</si>
  <si>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</si>
  <si>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</si>
  <si>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</si>
  <si>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</si>
  <si>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</si>
  <si>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</si>
  <si>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</si>
  <si>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</si>
  <si>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</si>
  <si>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</si>
  <si>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</si>
  <si>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</si>
  <si>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</si>
  <si>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</si>
  <si>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</si>
  <si>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</si>
  <si>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</si>
  <si>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</si>
  <si>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</si>
  <si>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</si>
  <si>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</si>
  <si>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</si>
  <si>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</si>
  <si>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</si>
  <si>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</si>
  <si>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</si>
  <si>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</si>
  <si>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</si>
  <si>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</si>
  <si>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</si>
  <si>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</si>
  <si>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</si>
  <si>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</si>
  <si>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</si>
  <si>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</si>
  <si>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</si>
  <si>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</si>
  <si>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</si>
  <si>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</si>
  <si>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</si>
  <si>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</si>
  <si>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</si>
  <si>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</si>
  <si>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</si>
  <si>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</si>
  <si>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</si>
  <si>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</si>
  <si>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</si>
  <si>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</si>
  <si>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</si>
  <si>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</si>
  <si>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</si>
  <si>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</si>
  <si>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</si>
  <si>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</si>
  <si>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</si>
  <si>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</si>
  <si>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</si>
  <si>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</si>
  <si>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</si>
  <si>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</si>
  <si>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</si>
  <si>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</si>
  <si>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</si>
  <si>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</si>
  <si>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</si>
  <si>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</si>
  <si>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</si>
  <si>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</si>
  <si>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</si>
  <si>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</si>
  <si>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</si>
  <si>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</si>
  <si>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</si>
  <si>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</si>
  <si>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</si>
  <si>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</si>
  <si>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</si>
  <si>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</si>
  <si>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</si>
  <si>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</si>
  <si>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</si>
  <si>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</si>
  <si>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</si>
  <si>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</si>
  <si>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</si>
  <si>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</si>
  <si>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</si>
  <si>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</si>
  <si>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</si>
  <si>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</si>
  <si>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</si>
  <si>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</si>
  <si>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</si>
  <si>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</si>
  <si>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</si>
  <si>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</si>
  <si>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</si>
  <si>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</si>
  <si>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</si>
  <si>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</si>
  <si>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</si>
  <si>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</si>
  <si>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</si>
  <si>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</si>
  <si>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</si>
  <si>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</si>
  <si>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</si>
  <si>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</si>
  <si>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</si>
  <si>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</si>
  <si>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</si>
  <si>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</si>
  <si>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</si>
  <si>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</si>
  <si>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</si>
  <si>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</si>
  <si>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</si>
  <si>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</si>
  <si>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</si>
  <si>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</si>
  <si>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</si>
  <si>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</si>
  <si>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</si>
  <si>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</si>
  <si>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</si>
  <si>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</si>
  <si>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</si>
  <si>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</si>
  <si>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</si>
  <si>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</si>
  <si>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</si>
  <si>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</si>
  <si>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</si>
  <si>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</si>
  <si>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</si>
  <si>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</si>
  <si>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</si>
  <si>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</si>
  <si>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</si>
  <si>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</si>
  <si>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</si>
  <si>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</si>
  <si>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</si>
  <si>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</si>
  <si>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</si>
  <si>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</si>
  <si>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</si>
  <si>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</si>
  <si>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</si>
  <si>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</si>
  <si>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</si>
  <si>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</si>
  <si>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</si>
  <si>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</si>
  <si>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</si>
  <si>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</si>
  <si>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</si>
  <si>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</si>
  <si>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</si>
  <si>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</si>
  <si>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</si>
  <si>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</si>
  <si>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</si>
  <si>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</si>
  <si>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</si>
  <si>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</si>
  <si>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</si>
  <si>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</si>
  <si>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</si>
  <si>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</si>
  <si>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</si>
  <si>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</si>
  <si>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</si>
  <si>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</si>
  <si>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</si>
  <si>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</si>
  <si>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</si>
  <si>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</si>
  <si>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</si>
  <si>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</si>
  <si>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</si>
  <si>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</si>
  <si>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</si>
  <si>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</si>
  <si>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</si>
  <si>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</si>
  <si>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</si>
  <si>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</si>
  <si>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</si>
  <si>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</si>
  <si>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</si>
  <si>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</si>
  <si>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</si>
  <si>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</si>
  <si>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</si>
  <si>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</si>
  <si>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</si>
  <si>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</si>
  <si>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</si>
  <si>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</si>
  <si>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</si>
  <si>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</si>
  <si>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</si>
  <si>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</si>
  <si>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</si>
  <si>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</si>
  <si>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</si>
  <si>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</si>
  <si>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</si>
  <si>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</si>
  <si>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</si>
  <si>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</si>
  <si>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</si>
  <si>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</si>
  <si>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</si>
  <si>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</si>
  <si>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</si>
  <si>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</si>
  <si>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</si>
  <si>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</si>
  <si>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</si>
  <si>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</si>
  <si>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</si>
  <si>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</si>
  <si>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</si>
  <si>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</si>
  <si>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</si>
  <si>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</si>
  <si>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</si>
  <si>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</si>
  <si>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</si>
  <si>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</si>
  <si>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</si>
  <si>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</si>
  <si>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</si>
  <si>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</si>
  <si>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</si>
  <si>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</si>
  <si>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</si>
  <si>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</si>
  <si>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</si>
  <si>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</si>
  <si>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</si>
  <si>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</si>
  <si>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</si>
  <si>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</si>
  <si>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</si>
  <si>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</si>
  <si>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</si>
  <si>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</si>
  <si>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</si>
  <si>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</si>
  <si>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</si>
  <si>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</si>
  <si>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</si>
  <si>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</si>
  <si>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</si>
  <si>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</si>
  <si>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</si>
  <si>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</si>
  <si>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</si>
  <si>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</si>
  <si>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</si>
  <si>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</si>
  <si>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</si>
  <si>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</si>
  <si>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</si>
  <si>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</si>
  <si>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</si>
  <si>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</si>
  <si>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</si>
  <si>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</si>
  <si>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</si>
  <si>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</si>
  <si>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</si>
  <si>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</si>
  <si>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</si>
  <si>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</si>
  <si>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</si>
  <si>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</si>
  <si>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</si>
  <si>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</si>
  <si>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</si>
  <si>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</si>
  <si>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</si>
  <si>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</si>
  <si>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</si>
  <si>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</si>
  <si>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</si>
  <si>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</si>
  <si>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</si>
  <si>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</si>
  <si>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</si>
  <si>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</si>
  <si>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</si>
  <si>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</si>
  <si>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</si>
  <si>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</si>
  <si>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</si>
  <si>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</si>
  <si>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</si>
  <si>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</si>
  <si>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</si>
  <si>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</si>
  <si>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</si>
  <si>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</si>
  <si>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</si>
  <si>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</si>
  <si>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</si>
  <si>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</si>
  <si>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</si>
  <si>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</si>
  <si>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</si>
  <si>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</si>
  <si>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</si>
  <si>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</si>
  <si>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</si>
  <si>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</si>
  <si>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</si>
  <si>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</si>
  <si>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</si>
  <si>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</si>
  <si>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</si>
  <si>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</si>
  <si>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</si>
  <si>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</si>
  <si>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</si>
  <si>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</si>
  <si>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</si>
  <si>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</si>
  <si>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</si>
  <si>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</si>
  <si>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</si>
  <si>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</si>
  <si>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</si>
  <si>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</si>
  <si>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</si>
  <si>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</si>
  <si>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</si>
  <si>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</si>
  <si>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</si>
  <si>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</si>
  <si>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</si>
  <si>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</si>
  <si>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</si>
  <si>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</si>
  <si>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</si>
  <si>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</si>
  <si>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</si>
  <si>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</si>
  <si>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</si>
  <si>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</si>
  <si>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</si>
  <si>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</si>
  <si>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</si>
  <si>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</si>
  <si>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</si>
  <si>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</si>
  <si>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</si>
  <si>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</si>
  <si>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</si>
  <si>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</si>
  <si>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</si>
  <si>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</si>
  <si>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</si>
  <si>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</si>
  <si>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</si>
  <si>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</si>
  <si>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</si>
  <si>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</si>
  <si>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</si>
  <si>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</si>
  <si>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</si>
  <si>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</si>
  <si>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</si>
  <si>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</si>
  <si>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</si>
  <si>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</si>
  <si>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</si>
  <si>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</si>
  <si>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</si>
  <si>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</si>
  <si>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</si>
  <si>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</si>
  <si>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</si>
  <si>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</si>
  <si>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</si>
  <si>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</si>
  <si>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</si>
  <si>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</si>
  <si>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</si>
  <si>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</si>
  <si>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</si>
  <si>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</si>
  <si>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</si>
  <si>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</si>
  <si>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</si>
  <si>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</si>
  <si>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</si>
  <si>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</si>
  <si>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</si>
  <si>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</si>
  <si>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</si>
  <si>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</si>
  <si>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</si>
  <si>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</si>
  <si>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</si>
  <si>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</si>
  <si>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</si>
  <si>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</si>
  <si>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</si>
  <si>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</si>
  <si>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</si>
  <si>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</si>
  <si>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</si>
  <si>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</si>
  <si>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</si>
  <si>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</si>
  <si>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</si>
  <si>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</si>
  <si>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</si>
  <si>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</si>
  <si>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</si>
  <si>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</si>
  <si>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</si>
  <si>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</si>
  <si>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</si>
  <si>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</si>
  <si>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</si>
  <si>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</si>
  <si>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</si>
  <si>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</si>
  <si>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</si>
  <si>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</si>
  <si>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</si>
  <si>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</si>
  <si>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</si>
  <si>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</si>
  <si>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</si>
  <si>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</si>
  <si>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</si>
  <si>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</si>
  <si>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</si>
  <si>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</si>
  <si>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</si>
  <si>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</si>
  <si>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</si>
  <si>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</si>
  <si>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</si>
  <si>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</si>
  <si>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</si>
  <si>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</si>
  <si>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</si>
  <si>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</si>
  <si>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</si>
  <si>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</si>
  <si>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</si>
  <si>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</si>
  <si>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</si>
  <si>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</si>
  <si>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</si>
  <si>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</si>
  <si>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</si>
  <si>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</si>
  <si>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</si>
  <si>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</si>
  <si>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</si>
  <si>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</si>
  <si>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</si>
  <si>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</si>
  <si>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</si>
  <si>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</si>
  <si>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</si>
  <si>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</si>
  <si>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</si>
  <si>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</si>
  <si>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</si>
  <si>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</si>
  <si>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</si>
  <si>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</si>
  <si>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</si>
  <si>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</si>
  <si>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</si>
  <si>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</si>
  <si>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</si>
  <si>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</si>
  <si>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</si>
  <si>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</si>
  <si>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11057</t>
  </si>
  <si>
    <t>MALLE</t>
  </si>
  <si>
    <t>Paarden&amp;pony's 200 - 600 kg</t>
  </si>
  <si>
    <t>Paarden&amp;pony's &lt; 200 kg</t>
  </si>
  <si>
    <t>referentietaak LNE (2017); Jaarverslag De Lijn (2014)</t>
  </si>
  <si>
    <t>op basis van VEA (maart 2018) en Inventaris Hernieuwbare Energiebronnen (juni 2018)</t>
  </si>
  <si>
    <t>VEA (maart 2016)</t>
  </si>
  <si>
    <t>VEA (juni 2018)</t>
  </si>
  <si>
    <t>Agri-Power bvba</t>
  </si>
  <si>
    <t>Gemeentebos 8, 2390 Malle</t>
  </si>
  <si>
    <t>WKK-0042 Agri-Power</t>
  </si>
  <si>
    <t>interne verbrandingsmotor</t>
  </si>
  <si>
    <t>WKK interne verbrandinsgmotor (gas)</t>
  </si>
  <si>
    <t>IVEKA</t>
  </si>
  <si>
    <t>Agri-Power BVBA</t>
  </si>
  <si>
    <t>Gemeentebos 6 , 2390 Malle</t>
  </si>
  <si>
    <t>BGS-0030 Agri-Power (GSC rest)</t>
  </si>
  <si>
    <t>biogas - hoofdzakelijk agrarische stromen</t>
  </si>
  <si>
    <t>niet WKK interne verbrandingsmotor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</si>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</sst>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112492.79352275483</c:v>
                </c:pt>
                <c:pt idx="1">
                  <c:v>99344.98808521351</c:v>
                </c:pt>
                <c:pt idx="2">
                  <c:v>634.14499999999998</c:v>
                </c:pt>
                <c:pt idx="3">
                  <c:v>11924.136092939405</c:v>
                </c:pt>
                <c:pt idx="4">
                  <c:v>151234.34487745058</c:v>
                </c:pt>
                <c:pt idx="5">
                  <c:v>91241.311807924983</c:v>
                </c:pt>
                <c:pt idx="6">
                  <c:v>2953.5722880085495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112492.79352275483</c:v>
                </c:pt>
                <c:pt idx="1">
                  <c:v>99344.98808521351</c:v>
                </c:pt>
                <c:pt idx="2">
                  <c:v>634.14499999999998</c:v>
                </c:pt>
                <c:pt idx="3">
                  <c:v>11924.136092939405</c:v>
                </c:pt>
                <c:pt idx="4">
                  <c:v>151234.34487745058</c:v>
                </c:pt>
                <c:pt idx="5">
                  <c:v>91241.311807924983</c:v>
                </c:pt>
                <c:pt idx="6">
                  <c:v>2953.5722880085495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18193.510334551909</c:v>
                </c:pt>
                <c:pt idx="1">
                  <c:v>13663.627061814566</c:v>
                </c:pt>
                <c:pt idx="2">
                  <c:v>94.335389519621103</c:v>
                </c:pt>
                <c:pt idx="3">
                  <c:v>2592.569730196386</c:v>
                </c:pt>
                <c:pt idx="4">
                  <c:v>27067.291273957442</c:v>
                </c:pt>
                <c:pt idx="5">
                  <c:v>22866.541887580588</c:v>
                </c:pt>
                <c:pt idx="6">
                  <c:v>746.05827249523043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87200"/>
      </c:barChart>
      <c:catAx>
        <c:axId val="177248896"/>
        <c:scaling>
          <c:orientation val="minMax"/>
        </c:scaling>
        <c:axPos val="b"/>
        <c:numFmt formatCode="General" sourceLinked="0"/>
        <c:tickLblPos val="nextTo"/>
        <c:crossAx val="183587200"/>
        <c:crosses val="autoZero"/>
        <c:auto val="1"/>
        <c:lblAlgn val="ctr"/>
        <c:lblOffset val="100"/>
      </c:catAx>
      <c:valAx>
        <c:axId val="183587200"/>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18193.510334551909</c:v>
                </c:pt>
                <c:pt idx="1">
                  <c:v>13663.627061814566</c:v>
                </c:pt>
                <c:pt idx="2">
                  <c:v>94.335389519621103</c:v>
                </c:pt>
                <c:pt idx="3">
                  <c:v>2592.569730196386</c:v>
                </c:pt>
                <c:pt idx="4">
                  <c:v>27067.291273957442</c:v>
                </c:pt>
                <c:pt idx="5">
                  <c:v>22866.541887580588</c:v>
                </c:pt>
                <c:pt idx="6">
                  <c:v>746.05827249523043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11057</v>
      </c>
      <c r="B6" s="416"/>
      <c r="C6" s="417"/>
    </row>
    <row r="7" spans="1:7" s="414" customFormat="1" ht="15.75" customHeight="1">
      <c r="A7" s="418" t="str">
        <f>txtMunicipality</f>
        <v>MALLE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5895</v>
      </c>
      <c r="C9" s="342">
        <v>5930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2385</v>
      </c>
    </row>
    <row r="15" spans="1:6">
      <c r="A15" s="348" t="s">
        <v>184</v>
      </c>
      <c r="B15" s="334">
        <v>811</v>
      </c>
    </row>
    <row r="16" spans="1:6">
      <c r="A16" s="348" t="s">
        <v>6</v>
      </c>
      <c r="B16" s="334">
        <v>1872</v>
      </c>
    </row>
    <row r="17" spans="1:6">
      <c r="A17" s="348" t="s">
        <v>7</v>
      </c>
      <c r="B17" s="334">
        <v>573</v>
      </c>
    </row>
    <row r="18" spans="1:6">
      <c r="A18" s="348" t="s">
        <v>8</v>
      </c>
      <c r="B18" s="334">
        <v>1551</v>
      </c>
    </row>
    <row r="19" spans="1:6">
      <c r="A19" s="348" t="s">
        <v>9</v>
      </c>
      <c r="B19" s="334">
        <v>1364</v>
      </c>
    </row>
    <row r="20" spans="1:6">
      <c r="A20" s="348" t="s">
        <v>10</v>
      </c>
      <c r="B20" s="334">
        <v>945</v>
      </c>
    </row>
    <row r="21" spans="1:6">
      <c r="A21" s="348" t="s">
        <v>11</v>
      </c>
      <c r="B21" s="334">
        <v>1098</v>
      </c>
    </row>
    <row r="22" spans="1:6">
      <c r="A22" s="348" t="s">
        <v>12</v>
      </c>
      <c r="B22" s="334">
        <v>7952</v>
      </c>
    </row>
    <row r="23" spans="1:6">
      <c r="A23" s="348" t="s">
        <v>13</v>
      </c>
      <c r="B23" s="334">
        <v>122</v>
      </c>
    </row>
    <row r="24" spans="1:6">
      <c r="A24" s="348" t="s">
        <v>14</v>
      </c>
      <c r="B24" s="334">
        <v>4</v>
      </c>
    </row>
    <row r="25" spans="1:6">
      <c r="A25" s="348" t="s">
        <v>15</v>
      </c>
      <c r="B25" s="334">
        <v>483</v>
      </c>
    </row>
    <row r="26" spans="1:6">
      <c r="A26" s="348" t="s">
        <v>16</v>
      </c>
      <c r="B26" s="334">
        <v>121</v>
      </c>
    </row>
    <row r="27" spans="1:6">
      <c r="A27" s="348" t="s">
        <v>17</v>
      </c>
      <c r="B27" s="334">
        <v>0</v>
      </c>
    </row>
    <row r="28" spans="1:6" s="356" customFormat="1">
      <c r="A28" s="355" t="s">
        <v>18</v>
      </c>
      <c r="B28" s="355">
        <v>111705</v>
      </c>
    </row>
    <row r="29" spans="1:6">
      <c r="A29" s="355" t="s">
        <v>828</v>
      </c>
      <c r="B29" s="355">
        <v>190</v>
      </c>
      <c r="C29" s="356"/>
      <c r="D29" s="356"/>
      <c r="E29" s="356"/>
      <c r="F29" s="356"/>
    </row>
    <row r="30" spans="1:6">
      <c r="A30" s="341" t="s">
        <v>829</v>
      </c>
      <c r="B30" s="341">
        <v>36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35847.761793375001</v>
      </c>
      <c r="E38" s="334">
        <v>3</v>
      </c>
      <c r="F38" s="334">
        <v>22055.54</v>
      </c>
    </row>
    <row r="39" spans="1:6">
      <c r="A39" s="348" t="s">
        <v>30</v>
      </c>
      <c r="B39" s="348" t="s">
        <v>31</v>
      </c>
      <c r="C39" s="334">
        <v>4348</v>
      </c>
      <c r="D39" s="334">
        <v>74399932.650149807</v>
      </c>
      <c r="E39" s="334">
        <v>5694</v>
      </c>
      <c r="F39" s="334">
        <v>25338271</v>
      </c>
    </row>
    <row r="40" spans="1:6">
      <c r="A40" s="348" t="s">
        <v>30</v>
      </c>
      <c r="B40" s="348" t="s">
        <v>29</v>
      </c>
      <c r="C40" s="334">
        <v>0</v>
      </c>
      <c r="D40" s="334">
        <v>0</v>
      </c>
      <c r="E40" s="334">
        <v>0</v>
      </c>
      <c r="F40" s="334">
        <v>0</v>
      </c>
    </row>
    <row r="41" spans="1:6">
      <c r="A41" s="348" t="s">
        <v>32</v>
      </c>
      <c r="B41" s="348" t="s">
        <v>33</v>
      </c>
      <c r="C41" s="334">
        <v>51</v>
      </c>
      <c r="D41" s="334">
        <v>1951041.11425351</v>
      </c>
      <c r="E41" s="334">
        <v>139</v>
      </c>
      <c r="F41" s="334">
        <v>6674915</v>
      </c>
    </row>
    <row r="42" spans="1:6">
      <c r="A42" s="348" t="s">
        <v>32</v>
      </c>
      <c r="B42" s="348" t="s">
        <v>34</v>
      </c>
      <c r="C42" s="334">
        <v>0</v>
      </c>
      <c r="D42" s="334">
        <v>0</v>
      </c>
      <c r="E42" s="334">
        <v>4</v>
      </c>
      <c r="F42" s="334">
        <v>884080.4</v>
      </c>
    </row>
    <row r="43" spans="1:6">
      <c r="A43" s="348" t="s">
        <v>32</v>
      </c>
      <c r="B43" s="348" t="s">
        <v>35</v>
      </c>
      <c r="C43" s="334">
        <v>0</v>
      </c>
      <c r="D43" s="334">
        <v>0</v>
      </c>
      <c r="E43" s="334">
        <v>0</v>
      </c>
      <c r="F43" s="334">
        <v>0</v>
      </c>
    </row>
    <row r="44" spans="1:6">
      <c r="A44" s="348" t="s">
        <v>32</v>
      </c>
      <c r="B44" s="348" t="s">
        <v>36</v>
      </c>
      <c r="C44" s="334">
        <v>3</v>
      </c>
      <c r="D44" s="334">
        <v>757589.602257077</v>
      </c>
      <c r="E44" s="334">
        <v>24</v>
      </c>
      <c r="F44" s="334">
        <v>5840270</v>
      </c>
    </row>
    <row r="45" spans="1:6">
      <c r="A45" s="348" t="s">
        <v>32</v>
      </c>
      <c r="B45" s="348" t="s">
        <v>37</v>
      </c>
      <c r="C45" s="334">
        <v>0</v>
      </c>
      <c r="D45" s="334">
        <v>0</v>
      </c>
      <c r="E45" s="334">
        <v>3</v>
      </c>
      <c r="F45" s="334">
        <v>1059110</v>
      </c>
    </row>
    <row r="46" spans="1:6">
      <c r="A46" s="348" t="s">
        <v>32</v>
      </c>
      <c r="B46" s="348" t="s">
        <v>38</v>
      </c>
      <c r="C46" s="334">
        <v>0</v>
      </c>
      <c r="D46" s="334">
        <v>0</v>
      </c>
      <c r="E46" s="334">
        <v>0</v>
      </c>
      <c r="F46" s="334">
        <v>0</v>
      </c>
    </row>
    <row r="47" spans="1:6">
      <c r="A47" s="348" t="s">
        <v>32</v>
      </c>
      <c r="B47" s="348" t="s">
        <v>39</v>
      </c>
      <c r="C47" s="334">
        <v>3</v>
      </c>
      <c r="D47" s="334">
        <v>64808.250545678697</v>
      </c>
      <c r="E47" s="334">
        <v>3</v>
      </c>
      <c r="F47" s="334">
        <v>38970.51</v>
      </c>
    </row>
    <row r="48" spans="1:6">
      <c r="A48" s="348" t="s">
        <v>32</v>
      </c>
      <c r="B48" s="348" t="s">
        <v>29</v>
      </c>
      <c r="C48" s="334">
        <v>39</v>
      </c>
      <c r="D48" s="334">
        <v>41029650.577987999</v>
      </c>
      <c r="E48" s="334">
        <v>46</v>
      </c>
      <c r="F48" s="334">
        <v>32278536</v>
      </c>
    </row>
    <row r="49" spans="1:6">
      <c r="A49" s="348" t="s">
        <v>32</v>
      </c>
      <c r="B49" s="348" t="s">
        <v>40</v>
      </c>
      <c r="C49" s="334">
        <v>0</v>
      </c>
      <c r="D49" s="334">
        <v>0</v>
      </c>
      <c r="E49" s="334">
        <v>0</v>
      </c>
      <c r="F49" s="334">
        <v>0</v>
      </c>
    </row>
    <row r="50" spans="1:6">
      <c r="A50" s="348" t="s">
        <v>32</v>
      </c>
      <c r="B50" s="348" t="s">
        <v>41</v>
      </c>
      <c r="C50" s="334">
        <v>19</v>
      </c>
      <c r="D50" s="334">
        <v>2182390.2209053999</v>
      </c>
      <c r="E50" s="334">
        <v>18</v>
      </c>
      <c r="F50" s="334">
        <v>10525542</v>
      </c>
    </row>
    <row r="51" spans="1:6">
      <c r="A51" s="348" t="s">
        <v>42</v>
      </c>
      <c r="B51" s="348" t="s">
        <v>43</v>
      </c>
      <c r="C51" s="334">
        <v>3</v>
      </c>
      <c r="D51" s="334">
        <v>72184.111961431903</v>
      </c>
      <c r="E51" s="334">
        <v>73</v>
      </c>
      <c r="F51" s="334">
        <v>1258658</v>
      </c>
    </row>
    <row r="52" spans="1:6">
      <c r="A52" s="348" t="s">
        <v>42</v>
      </c>
      <c r="B52" s="348" t="s">
        <v>29</v>
      </c>
      <c r="C52" s="334">
        <v>5</v>
      </c>
      <c r="D52" s="334">
        <v>4552008.4925663201</v>
      </c>
      <c r="E52" s="334">
        <v>6</v>
      </c>
      <c r="F52" s="334">
        <v>101383.7</v>
      </c>
    </row>
    <row r="53" spans="1:6">
      <c r="A53" s="348" t="s">
        <v>44</v>
      </c>
      <c r="B53" s="348" t="s">
        <v>45</v>
      </c>
      <c r="C53" s="334">
        <v>94</v>
      </c>
      <c r="D53" s="334">
        <v>3016941.1712799398</v>
      </c>
      <c r="E53" s="334">
        <v>188</v>
      </c>
      <c r="F53" s="334">
        <v>776973.4</v>
      </c>
    </row>
    <row r="54" spans="1:6">
      <c r="A54" s="348" t="s">
        <v>46</v>
      </c>
      <c r="B54" s="348" t="s">
        <v>47</v>
      </c>
      <c r="C54" s="334">
        <v>0</v>
      </c>
      <c r="D54" s="334">
        <v>0</v>
      </c>
      <c r="E54" s="334">
        <v>1</v>
      </c>
      <c r="F54" s="334">
        <v>634145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2143002.7188497698</v>
      </c>
      <c r="E57" s="334">
        <v>76</v>
      </c>
      <c r="F57" s="334">
        <v>2599381</v>
      </c>
    </row>
    <row r="58" spans="1:6">
      <c r="A58" s="348" t="s">
        <v>49</v>
      </c>
      <c r="B58" s="348" t="s">
        <v>51</v>
      </c>
      <c r="C58" s="334">
        <v>24</v>
      </c>
      <c r="D58" s="334">
        <v>10395182.4963654</v>
      </c>
      <c r="E58" s="334">
        <v>34</v>
      </c>
      <c r="F58" s="334">
        <v>1448825</v>
      </c>
    </row>
    <row r="59" spans="1:6">
      <c r="A59" s="348" t="s">
        <v>49</v>
      </c>
      <c r="B59" s="348" t="s">
        <v>52</v>
      </c>
      <c r="C59" s="334">
        <v>96</v>
      </c>
      <c r="D59" s="334">
        <v>3640396.81994096</v>
      </c>
      <c r="E59" s="334">
        <v>187</v>
      </c>
      <c r="F59" s="334">
        <v>6921183</v>
      </c>
    </row>
    <row r="60" spans="1:6">
      <c r="A60" s="348" t="s">
        <v>49</v>
      </c>
      <c r="B60" s="348" t="s">
        <v>53</v>
      </c>
      <c r="C60" s="334">
        <v>61</v>
      </c>
      <c r="D60" s="334">
        <v>3419426.8090014299</v>
      </c>
      <c r="E60" s="334">
        <v>80</v>
      </c>
      <c r="F60" s="334">
        <v>3094511</v>
      </c>
    </row>
    <row r="61" spans="1:6">
      <c r="A61" s="348" t="s">
        <v>49</v>
      </c>
      <c r="B61" s="348" t="s">
        <v>54</v>
      </c>
      <c r="C61" s="334">
        <v>164</v>
      </c>
      <c r="D61" s="334">
        <v>6531157.1294399602</v>
      </c>
      <c r="E61" s="334">
        <v>275</v>
      </c>
      <c r="F61" s="334">
        <v>4199954</v>
      </c>
    </row>
    <row r="62" spans="1:6">
      <c r="A62" s="348" t="s">
        <v>49</v>
      </c>
      <c r="B62" s="348" t="s">
        <v>55</v>
      </c>
      <c r="C62" s="334">
        <v>21</v>
      </c>
      <c r="D62" s="334">
        <v>4591284.5264093103</v>
      </c>
      <c r="E62" s="334">
        <v>23</v>
      </c>
      <c r="F62" s="334">
        <v>1592737</v>
      </c>
    </row>
    <row r="63" spans="1:6">
      <c r="A63" s="348" t="s">
        <v>49</v>
      </c>
      <c r="B63" s="348" t="s">
        <v>29</v>
      </c>
      <c r="C63" s="334">
        <v>110</v>
      </c>
      <c r="D63" s="334">
        <v>7899477.9981837403</v>
      </c>
      <c r="E63" s="334">
        <v>109</v>
      </c>
      <c r="F63" s="334">
        <v>2050357</v>
      </c>
    </row>
    <row r="64" spans="1:6">
      <c r="A64" s="348" t="s">
        <v>56</v>
      </c>
      <c r="B64" s="348" t="s">
        <v>57</v>
      </c>
      <c r="C64" s="334">
        <v>0</v>
      </c>
      <c r="D64" s="334">
        <v>0</v>
      </c>
      <c r="E64" s="334">
        <v>0</v>
      </c>
      <c r="F64" s="334">
        <v>0</v>
      </c>
    </row>
    <row r="65" spans="1:6">
      <c r="A65" s="348" t="s">
        <v>56</v>
      </c>
      <c r="B65" s="348" t="s">
        <v>29</v>
      </c>
      <c r="C65" s="334">
        <v>2</v>
      </c>
      <c r="D65" s="334">
        <v>53328.74230179</v>
      </c>
      <c r="E65" s="334">
        <v>3</v>
      </c>
      <c r="F65" s="334">
        <v>223757.7</v>
      </c>
    </row>
    <row r="66" spans="1:6">
      <c r="A66" s="348" t="s">
        <v>56</v>
      </c>
      <c r="B66" s="348" t="s">
        <v>58</v>
      </c>
      <c r="C66" s="334">
        <v>0</v>
      </c>
      <c r="D66" s="334">
        <v>0</v>
      </c>
      <c r="E66" s="334">
        <v>13</v>
      </c>
      <c r="F66" s="334">
        <v>386729.6</v>
      </c>
    </row>
    <row r="67" spans="1:6">
      <c r="A67" s="355" t="s">
        <v>56</v>
      </c>
      <c r="B67" s="355" t="s">
        <v>59</v>
      </c>
      <c r="C67" s="334">
        <v>0</v>
      </c>
      <c r="D67" s="334">
        <v>0</v>
      </c>
      <c r="E67" s="334">
        <v>0</v>
      </c>
      <c r="F67" s="334">
        <v>0</v>
      </c>
    </row>
    <row r="68" spans="1:6">
      <c r="A68" s="341" t="s">
        <v>56</v>
      </c>
      <c r="B68" s="341" t="s">
        <v>60</v>
      </c>
      <c r="C68" s="334">
        <v>6</v>
      </c>
      <c r="D68" s="334">
        <v>301936.22869535501</v>
      </c>
      <c r="E68" s="334">
        <v>18</v>
      </c>
      <c r="F68" s="334">
        <v>316652.40000000002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89611445</v>
      </c>
      <c r="E73" s="477">
        <v>92638240.079691842</v>
      </c>
    </row>
    <row r="74" spans="1:6">
      <c r="A74" s="348" t="s">
        <v>64</v>
      </c>
      <c r="B74" s="348" t="s">
        <v>714</v>
      </c>
      <c r="C74" s="1229" t="s">
        <v>716</v>
      </c>
      <c r="D74" s="477">
        <v>8019118.4847210767</v>
      </c>
      <c r="E74" s="477">
        <v>8363323.5372042321</v>
      </c>
    </row>
    <row r="75" spans="1:6">
      <c r="A75" s="348" t="s">
        <v>65</v>
      </c>
      <c r="B75" s="348" t="s">
        <v>713</v>
      </c>
      <c r="C75" s="1229" t="s">
        <v>717</v>
      </c>
      <c r="D75" s="477">
        <v>10734803</v>
      </c>
      <c r="E75" s="477">
        <v>11083963.166266575</v>
      </c>
    </row>
    <row r="76" spans="1:6">
      <c r="A76" s="348" t="s">
        <v>65</v>
      </c>
      <c r="B76" s="348" t="s">
        <v>714</v>
      </c>
      <c r="C76" s="1229" t="s">
        <v>718</v>
      </c>
      <c r="D76" s="477">
        <v>188341.48472107708</v>
      </c>
      <c r="E76" s="477">
        <v>218635.43613237061</v>
      </c>
    </row>
    <row r="77" spans="1:6">
      <c r="A77" s="348" t="s">
        <v>66</v>
      </c>
      <c r="B77" s="348" t="s">
        <v>713</v>
      </c>
      <c r="C77" s="1229" t="s">
        <v>719</v>
      </c>
      <c r="D77" s="477">
        <v>5143674</v>
      </c>
      <c r="E77" s="477">
        <v>5268255.3740212806</v>
      </c>
    </row>
    <row r="78" spans="1:6">
      <c r="A78" s="341" t="s">
        <v>66</v>
      </c>
      <c r="B78" s="341" t="s">
        <v>714</v>
      </c>
      <c r="C78" s="341" t="s">
        <v>720</v>
      </c>
      <c r="D78" s="1225">
        <v>1270124</v>
      </c>
      <c r="E78" s="1225">
        <v>1236116.9943560921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789265.03055784584</v>
      </c>
      <c r="C83" s="477">
        <v>780322.59186142008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3010.5303547105304</v>
      </c>
    </row>
    <row r="92" spans="1:6">
      <c r="A92" s="341" t="s">
        <v>69</v>
      </c>
      <c r="B92" s="342">
        <v>4717.0851495356828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3064</v>
      </c>
    </row>
    <row r="98" spans="1:6">
      <c r="A98" s="348" t="s">
        <v>72</v>
      </c>
      <c r="B98" s="334">
        <v>2</v>
      </c>
    </row>
    <row r="99" spans="1:6">
      <c r="A99" s="348" t="s">
        <v>73</v>
      </c>
      <c r="B99" s="334">
        <v>56</v>
      </c>
    </row>
    <row r="100" spans="1:6">
      <c r="A100" s="348" t="s">
        <v>74</v>
      </c>
      <c r="B100" s="334">
        <v>513</v>
      </c>
    </row>
    <row r="101" spans="1:6">
      <c r="A101" s="348" t="s">
        <v>75</v>
      </c>
      <c r="B101" s="334">
        <v>115</v>
      </c>
    </row>
    <row r="102" spans="1:6">
      <c r="A102" s="348" t="s">
        <v>76</v>
      </c>
      <c r="B102" s="334">
        <v>55</v>
      </c>
    </row>
    <row r="103" spans="1:6">
      <c r="A103" s="348" t="s">
        <v>77</v>
      </c>
      <c r="B103" s="334">
        <v>102</v>
      </c>
    </row>
    <row r="104" spans="1:6">
      <c r="A104" s="348" t="s">
        <v>78</v>
      </c>
      <c r="B104" s="334">
        <v>1072</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20</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91</v>
      </c>
    </row>
    <row r="130" spans="1:6">
      <c r="A130" s="348" t="s">
        <v>295</v>
      </c>
      <c r="B130" s="334">
        <v>3</v>
      </c>
    </row>
    <row r="131" spans="1:6">
      <c r="A131" s="348" t="s">
        <v>296</v>
      </c>
      <c r="B131" s="334">
        <v>3</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125527.31772996071</v>
      </c>
      <c r="C3" s="43" t="s">
        <v>170</v>
      </c>
      <c r="D3" s="43"/>
      <c r="E3" s="154"/>
      <c r="F3" s="43"/>
      <c r="G3" s="43"/>
      <c r="H3" s="43"/>
      <c r="I3" s="43"/>
      <c r="J3" s="43"/>
      <c r="K3" s="96"/>
    </row>
    <row r="4" spans="1:11">
      <c r="A4" s="384" t="s">
        <v>171</v>
      </c>
      <c r="B4" s="49">
        <f>IF(ISERROR('SEAP template'!B69),0,'SEAP template'!B69)</f>
        <v>41032.115504246212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0.14875996738856428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22802.142857142859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634.14499999999998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634.14499999999998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0.14875996738856428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94.335389519621103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25338.271000000001</v>
      </c>
      <c r="C5" s="17">
        <f>IF(ISERROR('Eigen informatie GS &amp; warmtenet'!B57),0,'Eigen informatie GS &amp; warmtenet'!B57)</f>
        <v>0</v>
      </c>
      <c r="D5" s="30">
        <f>(SUM(HH_hh_gas_kWh,HH_rest_gas_kWh)/1000)*0.902</f>
        <v>67108.73925043513</v>
      </c>
      <c r="E5" s="17">
        <f>B46*B57</f>
        <v>1851.8865239312122</v>
      </c>
      <c r="F5" s="17">
        <f>B51*B62</f>
        <v>0</v>
      </c>
      <c r="G5" s="18"/>
      <c r="H5" s="17"/>
      <c r="I5" s="17"/>
      <c r="J5" s="17">
        <f>B50*B61+C50*C61</f>
        <v>0</v>
      </c>
      <c r="K5" s="17"/>
      <c r="L5" s="17"/>
      <c r="M5" s="17"/>
      <c r="N5" s="17">
        <f>B48*B59+C48*C59</f>
        <v>14421.896393677969</v>
      </c>
      <c r="O5" s="17">
        <f>B69*B70*B71</f>
        <v>170.40333333333334</v>
      </c>
      <c r="P5" s="17">
        <f>B77*B78*B79/1000-B77*B78*B79/1000/B80</f>
        <v>591.06666666666661</v>
      </c>
    </row>
    <row r="6" spans="1:16">
      <c r="A6" s="16" t="s">
        <v>631</v>
      </c>
      <c r="B6" s="844">
        <f>kWh_PV_kleiner_dan_10kW</f>
        <v>3010.5303547105304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28348.801354710529</v>
      </c>
      <c r="C8" s="21">
        <f>C5</f>
        <v>0</v>
      </c>
      <c r="D8" s="21">
        <f>D5</f>
        <v>67108.73925043513</v>
      </c>
      <c r="E8" s="21">
        <f>E5</f>
        <v>1851.8865239312122</v>
      </c>
      <c r="F8" s="21">
        <f>F5</f>
        <v>0</v>
      </c>
      <c r="G8" s="21"/>
      <c r="H8" s="21"/>
      <c r="I8" s="21"/>
      <c r="J8" s="21">
        <f>J5</f>
        <v>0</v>
      </c>
      <c r="K8" s="21"/>
      <c r="L8" s="21">
        <f>L5</f>
        <v>0</v>
      </c>
      <c r="M8" s="21">
        <f>M5</f>
        <v>0</v>
      </c>
      <c r="N8" s="21">
        <f>N5</f>
        <v>14421.896393677969</v>
      </c>
      <c r="O8" s="21">
        <f>O5</f>
        <v>170.40333333333334</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0.14875996738856428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4217.1667650316258</v>
      </c>
      <c r="C12" s="23">
        <f ca="1">C10*C8</f>
        <v>0</v>
      </c>
      <c r="D12" s="23">
        <f>D8*D10</f>
        <v>13555.965328587898</v>
      </c>
      <c r="E12" s="23">
        <f>E10*E8</f>
        <v>420.37824093238515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3064</v>
      </c>
      <c r="C18" s="166" t="s">
        <v>111</v>
      </c>
      <c r="D18" s="228"/>
      <c r="E18" s="15"/>
    </row>
    <row r="19" spans="1:7">
      <c r="A19" s="171" t="s">
        <v>72</v>
      </c>
      <c r="B19" s="37">
        <f>aantalw2001_ander</f>
        <v>2</v>
      </c>
      <c r="C19" s="166" t="s">
        <v>111</v>
      </c>
      <c r="D19" s="229"/>
      <c r="E19" s="15"/>
    </row>
    <row r="20" spans="1:7">
      <c r="A20" s="171" t="s">
        <v>73</v>
      </c>
      <c r="B20" s="37">
        <f>aantalw2001_propaan</f>
        <v>56</v>
      </c>
      <c r="C20" s="167">
        <f>IF(ISERROR(B20/SUM($B$20,$B$21,$B$22)*100),0,B20/SUM($B$20,$B$21,$B$22)*100)</f>
        <v>8.1871345029239766</v>
      </c>
      <c r="D20" s="229"/>
      <c r="E20" s="15"/>
    </row>
    <row r="21" spans="1:7">
      <c r="A21" s="171" t="s">
        <v>74</v>
      </c>
      <c r="B21" s="37">
        <f>aantalw2001_elektriciteit</f>
        <v>513</v>
      </c>
      <c r="C21" s="167">
        <f>IF(ISERROR(B21/SUM($B$20,$B$21,$B$22)*100),0,B21/SUM($B$20,$B$21,$B$22)*100)</f>
        <v>75</v>
      </c>
      <c r="D21" s="229"/>
      <c r="E21" s="15"/>
    </row>
    <row r="22" spans="1:7">
      <c r="A22" s="171" t="s">
        <v>75</v>
      </c>
      <c r="B22" s="37">
        <f>aantalw2001_hout</f>
        <v>115</v>
      </c>
      <c r="C22" s="167">
        <f>IF(ISERROR(B22/SUM($B$20,$B$21,$B$22)*100),0,B22/SUM($B$20,$B$21,$B$22)*100)</f>
        <v>16.812865497076025</v>
      </c>
      <c r="D22" s="229"/>
      <c r="E22" s="15"/>
    </row>
    <row r="23" spans="1:7">
      <c r="A23" s="171" t="s">
        <v>76</v>
      </c>
      <c r="B23" s="37">
        <f>aantalw2001_niet_gespec</f>
        <v>55</v>
      </c>
      <c r="C23" s="166" t="s">
        <v>111</v>
      </c>
      <c r="D23" s="228"/>
      <c r="E23" s="15"/>
    </row>
    <row r="24" spans="1:7">
      <c r="A24" s="171" t="s">
        <v>77</v>
      </c>
      <c r="B24" s="37">
        <f>aantalw2001_steenkool</f>
        <v>102</v>
      </c>
      <c r="C24" s="166" t="s">
        <v>111</v>
      </c>
      <c r="D24" s="229"/>
      <c r="E24" s="15"/>
    </row>
    <row r="25" spans="1:7">
      <c r="A25" s="171" t="s">
        <v>78</v>
      </c>
      <c r="B25" s="37">
        <f>aantalw2001_stookolie</f>
        <v>1072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5895</v>
      </c>
      <c r="C28" s="36"/>
      <c r="D28" s="228"/>
    </row>
    <row r="29" spans="1:7" s="15" customFormat="1">
      <c r="A29" s="230" t="s">
        <v>741</v>
      </c>
      <c r="B29" s="37">
        <f>SUM(HH_hh_gas_aantal,HH_rest_gas_aantal)</f>
        <v>4348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4348</v>
      </c>
      <c r="C32" s="167">
        <f>IF(ISERROR(B32/SUM($B$32,$B$34,$B$35,$B$36,$B$38,$B$39)*100),0,B32/SUM($B$32,$B$34,$B$35,$B$36,$B$38,$B$39)*100)</f>
        <v>74.147339699863579</v>
      </c>
      <c r="D32" s="233"/>
      <c r="G32" s="15"/>
    </row>
    <row r="33" spans="1:7">
      <c r="A33" s="171" t="s">
        <v>72</v>
      </c>
      <c r="B33" s="34" t="s">
        <v>111</v>
      </c>
      <c r="C33" s="167"/>
      <c r="D33" s="233"/>
      <c r="G33" s="15"/>
    </row>
    <row r="34" spans="1:7">
      <c r="A34" s="171" t="s">
        <v>73</v>
      </c>
      <c r="B34" s="33">
        <f>IF((($B$28-$B$32-$B$39-$B$77-$B$38)*C20/100)&lt;0,0,($B$28-$B$32-$B$39-$B$77-$B$38)*C20/100)</f>
        <v>124.11695906432749</v>
      </c>
      <c r="C34" s="167">
        <f>IF(ISERROR(B34/SUM($B$32,$B$34,$B$35,$B$36,$B$38,$B$39)*100),0,B34/SUM($B$32,$B$34,$B$35,$B$36,$B$38,$B$39)*100)</f>
        <v>2.1165920713561985</v>
      </c>
      <c r="D34" s="233"/>
      <c r="G34" s="15"/>
    </row>
    <row r="35" spans="1:7">
      <c r="A35" s="171" t="s">
        <v>74</v>
      </c>
      <c r="B35" s="33">
        <f>IF((($B$28-$B$32-$B$39-$B$77-$B$38)*C21/100)&lt;0,0,($B$28-$B$32-$B$39-$B$77-$B$38)*C21/100)</f>
        <v>1137</v>
      </c>
      <c r="C35" s="167">
        <f>IF(ISERROR(B35/SUM($B$32,$B$34,$B$35,$B$36,$B$38,$B$39)*100),0,B35/SUM($B$32,$B$34,$B$35,$B$36,$B$38,$B$39)*100)</f>
        <v>19.389495225102319</v>
      </c>
      <c r="D35" s="233"/>
      <c r="G35" s="15"/>
    </row>
    <row r="36" spans="1:7">
      <c r="A36" s="171" t="s">
        <v>75</v>
      </c>
      <c r="B36" s="33">
        <f>IF((($B$28-$B$32-$B$39-$B$77-$B$38)*C22/100)&lt;0,0,($B$28-$B$32-$B$39-$B$77-$B$38)*C22/100)</f>
        <v>254.88304093567254</v>
      </c>
      <c r="C36" s="167">
        <f>IF(ISERROR(B36/SUM($B$32,$B$34,$B$35,$B$36,$B$38,$B$39)*100),0,B36/SUM($B$32,$B$34,$B$35,$B$36,$B$38,$B$39)*100)</f>
        <v>4.346573003677908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4348</v>
      </c>
      <c r="C44" s="34" t="s">
        <v>111</v>
      </c>
      <c r="D44" s="174"/>
    </row>
    <row r="45" spans="1:7">
      <c r="A45" s="171" t="s">
        <v>72</v>
      </c>
      <c r="B45" s="33" t="str">
        <f t="shared" si="0"/>
        <v>-</v>
      </c>
      <c r="C45" s="34" t="s">
        <v>111</v>
      </c>
      <c r="D45" s="174"/>
    </row>
    <row r="46" spans="1:7">
      <c r="A46" s="171" t="s">
        <v>73</v>
      </c>
      <c r="B46" s="33">
        <f t="shared" si="0"/>
        <v>124.11695906432749</v>
      </c>
      <c r="C46" s="34" t="s">
        <v>111</v>
      </c>
      <c r="D46" s="174"/>
    </row>
    <row r="47" spans="1:7">
      <c r="A47" s="171" t="s">
        <v>74</v>
      </c>
      <c r="B47" s="33">
        <f t="shared" si="0"/>
        <v>1137</v>
      </c>
      <c r="C47" s="34" t="s">
        <v>111</v>
      </c>
      <c r="D47" s="174"/>
    </row>
    <row r="48" spans="1:7">
      <c r="A48" s="171" t="s">
        <v>75</v>
      </c>
      <c r="B48" s="33">
        <f t="shared" si="0"/>
        <v>254.88304093567254</v>
      </c>
      <c r="C48" s="33">
        <f>B48*10</f>
        <v>2548.8304093567253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21906.948000000004</v>
      </c>
      <c r="C5" s="17">
        <f>IF(ISERROR('Eigen informatie GS &amp; warmtenet'!B58),0,'Eigen informatie GS &amp; warmtenet'!B58)</f>
        <v>0</v>
      </c>
      <c r="D5" s="30">
        <f>SUM(D6:D12)</f>
        <v>34835.175505367893</v>
      </c>
      <c r="E5" s="17">
        <f>SUM(E6:E12)</f>
        <v>246.10624417320008</v>
      </c>
      <c r="F5" s="17">
        <f>SUM(F6:F12)</f>
        <v>3512.1588118628911</v>
      </c>
      <c r="G5" s="18"/>
      <c r="H5" s="17"/>
      <c r="I5" s="17"/>
      <c r="J5" s="17">
        <f>SUM(J6:J12)</f>
        <v>0</v>
      </c>
      <c r="K5" s="17"/>
      <c r="L5" s="17"/>
      <c r="M5" s="17"/>
      <c r="N5" s="17">
        <f>SUM(N6:N12)</f>
        <v>2118.1557480616998</v>
      </c>
      <c r="O5" s="17">
        <f>B38*B39*B40</f>
        <v>4.6900000000000004</v>
      </c>
      <c r="P5" s="17">
        <f>B46*B47*B48/1000-B46*B47*B48/1000/B49</f>
        <v>76.266666666666666</v>
      </c>
      <c r="R5" s="32"/>
    </row>
    <row r="6" spans="1:18">
      <c r="A6" s="32" t="s">
        <v>54</v>
      </c>
      <c r="B6" s="37">
        <f>B26</f>
        <v>4199.9539999999997</v>
      </c>
      <c r="C6" s="33"/>
      <c r="D6" s="37">
        <f>IF(ISERROR(TER_kantoor_gas_kWh/1000),0,TER_kantoor_gas_kWh/1000)*0.902</f>
        <v>5891.103730754844</v>
      </c>
      <c r="E6" s="33">
        <f>$C$26*'E Balans VL '!I12/100/3.6*1000000</f>
        <v>12.167882958627322</v>
      </c>
      <c r="F6" s="33">
        <f>$C$26*('E Balans VL '!L12+'E Balans VL '!N12)/100/3.6*1000000</f>
        <v>475.34226063914457</v>
      </c>
      <c r="G6" s="34"/>
      <c r="H6" s="33"/>
      <c r="I6" s="33"/>
      <c r="J6" s="33">
        <f>$C$26*('E Balans VL '!D12+'E Balans VL '!E12)/100/3.6*1000000</f>
        <v>0</v>
      </c>
      <c r="K6" s="33"/>
      <c r="L6" s="33"/>
      <c r="M6" s="33"/>
      <c r="N6" s="33">
        <f>$C$26*'E Balans VL '!Y12/100/3.6*1000000</f>
        <v>42.038444875719854</v>
      </c>
      <c r="O6" s="33"/>
      <c r="P6" s="33"/>
      <c r="R6" s="32"/>
    </row>
    <row r="7" spans="1:18">
      <c r="A7" s="32" t="s">
        <v>53</v>
      </c>
      <c r="B7" s="37">
        <f t="shared" ref="B7:B12" si="0">B27</f>
        <v>3094.511</v>
      </c>
      <c r="C7" s="33"/>
      <c r="D7" s="37">
        <f>IF(ISERROR(TER_horeca_gas_kWh/1000),0,TER_horeca_gas_kWh/1000)*0.902</f>
        <v>3084.3229817192896</v>
      </c>
      <c r="E7" s="33">
        <f>$C$27*'E Balans VL '!I9/100/3.6*1000000</f>
        <v>129.89892588714201</v>
      </c>
      <c r="F7" s="33">
        <f>$C$27*('E Balans VL '!L9+'E Balans VL '!N9)/100/3.6*1000000</f>
        <v>664.91914727480366</v>
      </c>
      <c r="G7" s="34"/>
      <c r="H7" s="33"/>
      <c r="I7" s="33"/>
      <c r="J7" s="33">
        <f>$C$27*('E Balans VL '!D9+'E Balans VL '!E9)/100/3.6*1000000</f>
        <v>0</v>
      </c>
      <c r="K7" s="33"/>
      <c r="L7" s="33"/>
      <c r="M7" s="33"/>
      <c r="N7" s="33">
        <f>$C$27*'E Balans VL '!Y9/100/3.6*1000000</f>
        <v>0.79742842221955101</v>
      </c>
      <c r="O7" s="33"/>
      <c r="P7" s="33"/>
      <c r="R7" s="32"/>
    </row>
    <row r="8" spans="1:18">
      <c r="A8" s="6" t="s">
        <v>52</v>
      </c>
      <c r="B8" s="37">
        <f t="shared" si="0"/>
        <v>6921.183</v>
      </c>
      <c r="C8" s="33"/>
      <c r="D8" s="37">
        <f>IF(ISERROR(TER_handel_gas_kWh/1000),0,TER_handel_gas_kWh/1000)*0.902</f>
        <v>3283.6379315867462</v>
      </c>
      <c r="E8" s="33">
        <f>$C$28*'E Balans VL '!I13/100/3.6*1000000</f>
        <v>74.339265756864151</v>
      </c>
      <c r="F8" s="33">
        <f>$C$28*('E Balans VL '!L13+'E Balans VL '!N13)/100/3.6*1000000</f>
        <v>896.00429330099712</v>
      </c>
      <c r="G8" s="34"/>
      <c r="H8" s="33"/>
      <c r="I8" s="33"/>
      <c r="J8" s="33">
        <f>$C$28*('E Balans VL '!D13+'E Balans VL '!E13)/100/3.6*1000000</f>
        <v>0</v>
      </c>
      <c r="K8" s="33"/>
      <c r="L8" s="33"/>
      <c r="M8" s="33"/>
      <c r="N8" s="33">
        <f>$C$28*'E Balans VL '!Y13/100/3.6*1000000</f>
        <v>56.145014409023275</v>
      </c>
      <c r="O8" s="33"/>
      <c r="P8" s="33"/>
      <c r="R8" s="32"/>
    </row>
    <row r="9" spans="1:18">
      <c r="A9" s="32" t="s">
        <v>51</v>
      </c>
      <c r="B9" s="37">
        <f t="shared" si="0"/>
        <v>1448.825</v>
      </c>
      <c r="C9" s="33"/>
      <c r="D9" s="37">
        <f>IF(ISERROR(TER_gezond_gas_kWh/1000),0,TER_gezond_gas_kWh/1000)*0.902</f>
        <v>9376.4546117215905</v>
      </c>
      <c r="E9" s="33">
        <f>$C$29*'E Balans VL '!I10/100/3.6*1000000</f>
        <v>1.1533584074905021</v>
      </c>
      <c r="F9" s="33">
        <f>$C$29*('E Balans VL '!L10+'E Balans VL '!N10)/100/3.6*1000000</f>
        <v>176.12561615709075</v>
      </c>
      <c r="G9" s="34"/>
      <c r="H9" s="33"/>
      <c r="I9" s="33"/>
      <c r="J9" s="33">
        <f>$C$29*('E Balans VL '!D10+'E Balans VL '!E10)/100/3.6*1000000</f>
        <v>0</v>
      </c>
      <c r="K9" s="33"/>
      <c r="L9" s="33"/>
      <c r="M9" s="33"/>
      <c r="N9" s="33">
        <f>$C$29*'E Balans VL '!Y10/100/3.6*1000000</f>
        <v>11.703224509036025</v>
      </c>
      <c r="O9" s="33"/>
      <c r="P9" s="33"/>
      <c r="R9" s="32"/>
    </row>
    <row r="10" spans="1:18">
      <c r="A10" s="32" t="s">
        <v>50</v>
      </c>
      <c r="B10" s="37">
        <f t="shared" si="0"/>
        <v>2599.3809999999999</v>
      </c>
      <c r="C10" s="33"/>
      <c r="D10" s="37">
        <f>IF(ISERROR(TER_ander_gas_kWh/1000),0,TER_ander_gas_kWh/1000)*0.902</f>
        <v>1932.9884524024924</v>
      </c>
      <c r="E10" s="33">
        <f>$C$30*'E Balans VL '!I14/100/3.6*1000000</f>
        <v>8.9082152409734405</v>
      </c>
      <c r="F10" s="33">
        <f>$C$30*('E Balans VL '!L14+'E Balans VL '!N14)/100/3.6*1000000</f>
        <v>580.59608899858063</v>
      </c>
      <c r="G10" s="34"/>
      <c r="H10" s="33"/>
      <c r="I10" s="33"/>
      <c r="J10" s="33">
        <f>$C$30*('E Balans VL '!D14+'E Balans VL '!E14)/100/3.6*1000000</f>
        <v>0</v>
      </c>
      <c r="K10" s="33"/>
      <c r="L10" s="33"/>
      <c r="M10" s="33"/>
      <c r="N10" s="33">
        <f>$C$30*'E Balans VL '!Y14/100/3.6*1000000</f>
        <v>1831.0181765408288</v>
      </c>
      <c r="O10" s="33"/>
      <c r="P10" s="33"/>
      <c r="R10" s="32"/>
    </row>
    <row r="11" spans="1:18">
      <c r="A11" s="32" t="s">
        <v>55</v>
      </c>
      <c r="B11" s="37">
        <f t="shared" si="0"/>
        <v>1592.7370000000001</v>
      </c>
      <c r="C11" s="33"/>
      <c r="D11" s="37">
        <f>IF(ISERROR(TER_onderwijs_gas_kWh/1000),0,TER_onderwijs_gas_kWh/1000)*0.902</f>
        <v>4141.3386428211979</v>
      </c>
      <c r="E11" s="33">
        <f>$C$31*'E Balans VL '!I11/100/3.6*1000000</f>
        <v>1.1010100356608878</v>
      </c>
      <c r="F11" s="33">
        <f>$C$31*('E Balans VL '!L11+'E Balans VL '!N11)/100/3.6*1000000</f>
        <v>416.93228072936472</v>
      </c>
      <c r="G11" s="34"/>
      <c r="H11" s="33"/>
      <c r="I11" s="33"/>
      <c r="J11" s="33">
        <f>$C$31*('E Balans VL '!D11+'E Balans VL '!E11)/100/3.6*1000000</f>
        <v>0</v>
      </c>
      <c r="K11" s="33"/>
      <c r="L11" s="33"/>
      <c r="M11" s="33"/>
      <c r="N11" s="33">
        <f>$C$31*'E Balans VL '!Y11/100/3.6*1000000</f>
        <v>1.5854340247448435</v>
      </c>
      <c r="O11" s="33"/>
      <c r="P11" s="33"/>
      <c r="R11" s="32"/>
    </row>
    <row r="12" spans="1:18">
      <c r="A12" s="32" t="s">
        <v>260</v>
      </c>
      <c r="B12" s="37">
        <f t="shared" si="0"/>
        <v>2050.357</v>
      </c>
      <c r="C12" s="33"/>
      <c r="D12" s="37">
        <f>IF(ISERROR(TER_rest_gas_kWh/1000),0,TER_rest_gas_kWh/1000)*0.902</f>
        <v>7125.3291543617333</v>
      </c>
      <c r="E12" s="33">
        <f>$C$32*'E Balans VL '!I8/100/3.6*1000000</f>
        <v>18.537585886441722</v>
      </c>
      <c r="F12" s="33">
        <f>$C$32*('E Balans VL '!L8+'E Balans VL '!N8)/100/3.6*1000000</f>
        <v>302.23912476290963</v>
      </c>
      <c r="G12" s="34"/>
      <c r="H12" s="33"/>
      <c r="I12" s="33"/>
      <c r="J12" s="33">
        <f>$C$32*('E Balans VL '!D8+'E Balans VL '!E8)/100/3.6*1000000</f>
        <v>0</v>
      </c>
      <c r="K12" s="33"/>
      <c r="L12" s="33"/>
      <c r="M12" s="33"/>
      <c r="N12" s="33">
        <f>$C$32*'E Balans VL '!Y8/100/3.6*1000000</f>
        <v>174.8680252801274</v>
      </c>
      <c r="O12" s="33"/>
      <c r="P12" s="33"/>
      <c r="R12" s="32"/>
    </row>
    <row r="13" spans="1:18">
      <c r="A13" s="16" t="s">
        <v>494</v>
      </c>
      <c r="B13" s="247">
        <f ca="1">'lokale energieproductie'!N90+'lokale energieproductie'!N59</f>
        <v>15961.5</v>
      </c>
      <c r="C13" s="247">
        <f ca="1">'lokale energieproductie'!O90+'lokale energieproductie'!O59</f>
        <v>22802.142857142859</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-45604.285714285717</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37868.448000000004</v>
      </c>
      <c r="C16" s="21">
        <f t="shared" ca="1" si="1"/>
        <v>22802.142857142859</v>
      </c>
      <c r="D16" s="21">
        <f t="shared" ca="1" si="1"/>
        <v>34835.175505367893</v>
      </c>
      <c r="E16" s="21">
        <f t="shared" si="1"/>
        <v>246.10624417320008</v>
      </c>
      <c r="F16" s="21">
        <f t="shared" ca="1" si="1"/>
        <v>3512.1588118628911</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0.14875996738856428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5633.3090895355426</v>
      </c>
      <c r="C20" s="23">
        <f t="shared" ref="C20:P20" ca="1" si="2">C16*C18</f>
        <v>0</v>
      </c>
      <c r="D20" s="23">
        <f t="shared" ca="1" si="2"/>
        <v>7036.7054520843149</v>
      </c>
      <c r="E20" s="23">
        <f t="shared" si="2"/>
        <v>55.866117427316418</v>
      </c>
      <c r="F20" s="23">
        <f t="shared" ca="1" si="2"/>
        <v>937.74640276739194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4199.9539999999997</v>
      </c>
      <c r="C26" s="39">
        <f>IF(ISERROR(B26*3.6/1000000/'E Balans VL '!Z12*100),0,B26*3.6/1000000/'E Balans VL '!Z12*100)</f>
        <v>9.2256845243053706E-2</v>
      </c>
      <c r="D26" s="237" t="s">
        <v>692</v>
      </c>
      <c r="F26" s="6"/>
    </row>
    <row r="27" spans="1:18">
      <c r="A27" s="231" t="s">
        <v>53</v>
      </c>
      <c r="B27" s="33">
        <f>IF(ISERROR(TER_horeca_ele_kWh/1000),0,TER_horeca_ele_kWh/1000)</f>
        <v>3094.511</v>
      </c>
      <c r="C27" s="39">
        <f>IF(ISERROR(B27*3.6/1000000/'E Balans VL '!Z9*100),0,B27*3.6/1000000/'E Balans VL '!Z9*100)</f>
        <v>0.2486748052999779</v>
      </c>
      <c r="D27" s="237" t="s">
        <v>692</v>
      </c>
      <c r="F27" s="6"/>
    </row>
    <row r="28" spans="1:18">
      <c r="A28" s="171" t="s">
        <v>52</v>
      </c>
      <c r="B28" s="33">
        <f>IF(ISERROR(TER_handel_ele_kWh/1000),0,TER_handel_ele_kWh/1000)</f>
        <v>6921.183</v>
      </c>
      <c r="C28" s="39">
        <f>IF(ISERROR(B28*3.6/1000000/'E Balans VL '!Z13*100),0,B28*3.6/1000000/'E Balans VL '!Z13*100)</f>
        <v>0.20465454607003272</v>
      </c>
      <c r="D28" s="237" t="s">
        <v>692</v>
      </c>
      <c r="F28" s="6"/>
    </row>
    <row r="29" spans="1:18">
      <c r="A29" s="231" t="s">
        <v>51</v>
      </c>
      <c r="B29" s="33">
        <f>IF(ISERROR(TER_gezond_ele_kWh/1000),0,TER_gezond_ele_kWh/1000)</f>
        <v>1448.825</v>
      </c>
      <c r="C29" s="39">
        <f>IF(ISERROR(B29*3.6/1000000/'E Balans VL '!Z10*100),0,B29*3.6/1000000/'E Balans VL '!Z10*100)</f>
        <v>0.16324517213579121</v>
      </c>
      <c r="D29" s="237" t="s">
        <v>692</v>
      </c>
      <c r="F29" s="6"/>
    </row>
    <row r="30" spans="1:18">
      <c r="A30" s="231" t="s">
        <v>50</v>
      </c>
      <c r="B30" s="33">
        <f>IF(ISERROR(TER_ander_ele_kWh/1000),0,TER_ander_ele_kWh/1000)</f>
        <v>2599.3809999999999</v>
      </c>
      <c r="C30" s="39">
        <f>IF(ISERROR(B30*3.6/1000000/'E Balans VL '!Z14*100),0,B30*3.6/1000000/'E Balans VL '!Z14*100)</f>
        <v>0.19658674158889103</v>
      </c>
      <c r="D30" s="237" t="s">
        <v>692</v>
      </c>
      <c r="F30" s="6"/>
    </row>
    <row r="31" spans="1:18">
      <c r="A31" s="231" t="s">
        <v>55</v>
      </c>
      <c r="B31" s="33">
        <f>IF(ISERROR(TER_onderwijs_ele_kWh/1000),0,TER_onderwijs_ele_kWh/1000)</f>
        <v>1592.7370000000001</v>
      </c>
      <c r="C31" s="39">
        <f>IF(ISERROR(B31*3.6/1000000/'E Balans VL '!Z11*100),0,B31*3.6/1000000/'E Balans VL '!Z11*100)</f>
        <v>0.33061522739784605</v>
      </c>
      <c r="D31" s="237" t="s">
        <v>692</v>
      </c>
    </row>
    <row r="32" spans="1:18">
      <c r="A32" s="231" t="s">
        <v>260</v>
      </c>
      <c r="B32" s="33">
        <f>IF(ISERROR(TER_rest_ele_kWh/1000),0,TER_rest_ele_kWh/1000)</f>
        <v>2050.357</v>
      </c>
      <c r="C32" s="39">
        <f>IF(ISERROR(B32*3.6/1000000/'E Balans VL '!Z8*100),0,B32*3.6/1000000/'E Balans VL '!Z8*100)</f>
        <v>1.7273051540823901E-2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57301.423909999998</v>
      </c>
      <c r="C5" s="17">
        <f>IF(ISERROR('Eigen informatie GS &amp; warmtenet'!B59),0,'Eigen informatie GS &amp; warmtenet'!B59)</f>
        <v>0</v>
      </c>
      <c r="D5" s="30">
        <f>SUM(D6:D15)</f>
        <v>41478.902748886598</v>
      </c>
      <c r="E5" s="17">
        <f>SUM(E6:E15)</f>
        <v>3737.5038349047118</v>
      </c>
      <c r="F5" s="17">
        <f>SUM(F6:F15)</f>
        <v>34375.696339882503</v>
      </c>
      <c r="G5" s="18"/>
      <c r="H5" s="17"/>
      <c r="I5" s="17"/>
      <c r="J5" s="17">
        <f>SUM(J6:J15)</f>
        <v>388.90020689393543</v>
      </c>
      <c r="K5" s="17"/>
      <c r="L5" s="17"/>
      <c r="M5" s="17"/>
      <c r="N5" s="17">
        <f>SUM(N6:N15)</f>
        <v>13951.917836882807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5840.27</v>
      </c>
      <c r="C8" s="33"/>
      <c r="D8" s="37">
        <f>IF( ISERROR(IND_metaal_Gas_kWH/1000),0,IND_metaal_Gas_kWH/1000)*0.902</f>
        <v>683.34582123588348</v>
      </c>
      <c r="E8" s="33">
        <f>C30*'E Balans VL '!I18/100/3.6*1000000</f>
        <v>146.16151759290935</v>
      </c>
      <c r="F8" s="33">
        <f>C30*'E Balans VL '!L18/100/3.6*1000000+C30*'E Balans VL '!N18/100/3.6*1000000</f>
        <v>1830.3696689970141</v>
      </c>
      <c r="G8" s="34"/>
      <c r="H8" s="33"/>
      <c r="I8" s="33"/>
      <c r="J8" s="40">
        <f>C30*'E Balans VL '!D18/100/3.6*1000000+C30*'E Balans VL '!E18/100/3.6*1000000</f>
        <v>0</v>
      </c>
      <c r="K8" s="33"/>
      <c r="L8" s="33"/>
      <c r="M8" s="33"/>
      <c r="N8" s="33">
        <f>C30*'E Balans VL '!Y18/100/3.6*1000000</f>
        <v>146.72273922233512</v>
      </c>
      <c r="O8" s="33"/>
      <c r="P8" s="33"/>
      <c r="R8" s="32"/>
    </row>
    <row r="9" spans="1:18">
      <c r="A9" s="6" t="s">
        <v>33</v>
      </c>
      <c r="B9" s="37">
        <f t="shared" si="0"/>
        <v>6674.915</v>
      </c>
      <c r="C9" s="33"/>
      <c r="D9" s="37">
        <f>IF( ISERROR(IND_andere_gas_kWh/1000),0,IND_andere_gas_kWh/1000)*0.902</f>
        <v>1759.8390850566659</v>
      </c>
      <c r="E9" s="33">
        <f>C31*'E Balans VL '!I19/100/3.6*1000000</f>
        <v>1835.3278529901886</v>
      </c>
      <c r="F9" s="33">
        <f>C31*'E Balans VL '!L19/100/3.6*1000000+C31*'E Balans VL '!N19/100/3.6*1000000</f>
        <v>5260.9945386046647</v>
      </c>
      <c r="G9" s="34"/>
      <c r="H9" s="33"/>
      <c r="I9" s="33"/>
      <c r="J9" s="40">
        <f>C31*'E Balans VL '!D19/100/3.6*1000000+C31*'E Balans VL '!E19/100/3.6*1000000</f>
        <v>0</v>
      </c>
      <c r="K9" s="33"/>
      <c r="L9" s="33"/>
      <c r="M9" s="33"/>
      <c r="N9" s="33">
        <f>C31*'E Balans VL '!Y19/100/3.6*1000000</f>
        <v>2160.8461737728044</v>
      </c>
      <c r="O9" s="33"/>
      <c r="P9" s="33"/>
      <c r="R9" s="32"/>
    </row>
    <row r="10" spans="1:18">
      <c r="A10" s="6" t="s">
        <v>41</v>
      </c>
      <c r="B10" s="37">
        <f t="shared" si="0"/>
        <v>10525.541999999999</v>
      </c>
      <c r="C10" s="33"/>
      <c r="D10" s="37">
        <f>IF( ISERROR(IND_voed_gas_kWh/1000),0,IND_voed_gas_kWh/1000)*0.902</f>
        <v>1968.5159792566708</v>
      </c>
      <c r="E10" s="33">
        <f>C32*'E Balans VL '!I20/100/3.6*1000000</f>
        <v>107.30210213582548</v>
      </c>
      <c r="F10" s="33">
        <f>C32*'E Balans VL '!L20/100/3.6*1000000+C32*'E Balans VL '!N20/100/3.6*1000000</f>
        <v>19882.683007089512</v>
      </c>
      <c r="G10" s="34"/>
      <c r="H10" s="33"/>
      <c r="I10" s="33"/>
      <c r="J10" s="40">
        <f>C32*'E Balans VL '!D20/100/3.6*1000000+C32*'E Balans VL '!E20/100/3.6*1000000</f>
        <v>251.91065978934631</v>
      </c>
      <c r="K10" s="33"/>
      <c r="L10" s="33"/>
      <c r="M10" s="33"/>
      <c r="N10" s="33">
        <f>C32*'E Balans VL '!Y20/100/3.6*1000000</f>
        <v>5548.1730277703518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1059.1099999999999</v>
      </c>
      <c r="C12" s="33"/>
      <c r="D12" s="37">
        <f>IF( ISERROR(IND_min_gas_kWh/1000),0,IND_min_gas_kWh/1000)*0.902</f>
        <v>0</v>
      </c>
      <c r="E12" s="33">
        <f>C34*'E Balans VL '!I22/100/3.6*1000000</f>
        <v>3.2075650984852677</v>
      </c>
      <c r="F12" s="33">
        <f>C34*'E Balans VL '!L22/100/3.6*1000000+C34*'E Balans VL '!N22/100/3.6*1000000</f>
        <v>33.098098055106163</v>
      </c>
      <c r="G12" s="34"/>
      <c r="H12" s="33"/>
      <c r="I12" s="33"/>
      <c r="J12" s="40">
        <f>C34*'E Balans VL '!D22/100/3.6*1000000+C34*'E Balans VL '!E22/100/3.6*1000000</f>
        <v>1.5704250196950063</v>
      </c>
      <c r="K12" s="33"/>
      <c r="L12" s="33"/>
      <c r="M12" s="33"/>
      <c r="N12" s="33">
        <f>C34*'E Balans VL '!Y22/100/3.6*1000000</f>
        <v>0</v>
      </c>
      <c r="O12" s="33"/>
      <c r="P12" s="33"/>
      <c r="R12" s="32"/>
    </row>
    <row r="13" spans="1:18">
      <c r="A13" s="6" t="s">
        <v>39</v>
      </c>
      <c r="B13" s="37">
        <f t="shared" si="0"/>
        <v>38.970510000000004</v>
      </c>
      <c r="C13" s="33"/>
      <c r="D13" s="37">
        <f>IF( ISERROR(IND_papier_gas_kWh/1000),0,IND_papier_gas_kWh/1000)*0.902</f>
        <v>58.457041992202193</v>
      </c>
      <c r="E13" s="33">
        <f>C35*'E Balans VL '!I23/100/3.6*1000000</f>
        <v>8.0710556656084967E-2</v>
      </c>
      <c r="F13" s="33">
        <f>C35*'E Balans VL '!L23/100/3.6*1000000+C35*'E Balans VL '!N23/100/3.6*1000000</f>
        <v>0.77286875943312794</v>
      </c>
      <c r="G13" s="34"/>
      <c r="H13" s="33"/>
      <c r="I13" s="33"/>
      <c r="J13" s="40">
        <f>C35*'E Balans VL '!D23/100/3.6*1000000+C35*'E Balans VL '!E23/100/3.6*1000000</f>
        <v>0</v>
      </c>
      <c r="K13" s="33"/>
      <c r="L13" s="33"/>
      <c r="M13" s="33"/>
      <c r="N13" s="33">
        <f>C35*'E Balans VL '!Y23/100/3.6*1000000</f>
        <v>16.455214792779589</v>
      </c>
      <c r="O13" s="33"/>
      <c r="P13" s="33"/>
      <c r="R13" s="32"/>
    </row>
    <row r="14" spans="1:18">
      <c r="A14" s="6" t="s">
        <v>34</v>
      </c>
      <c r="B14" s="37">
        <f t="shared" si="0"/>
        <v>884.08040000000005</v>
      </c>
      <c r="C14" s="33"/>
      <c r="D14" s="37">
        <f>IF( ISERROR(IND_chemie_gas_kWh/1000),0,IND_chemie_gas_kWh/1000)*0.902</f>
        <v>0</v>
      </c>
      <c r="E14" s="33">
        <f>C36*'E Balans VL '!I24/100/3.6*1000000</f>
        <v>3.3145627122126848</v>
      </c>
      <c r="F14" s="33">
        <f>C36*'E Balans VL '!L24/100/3.6*1000000+C36*'E Balans VL '!N24/100/3.6*1000000</f>
        <v>10.285349395727549</v>
      </c>
      <c r="G14" s="34"/>
      <c r="H14" s="33"/>
      <c r="I14" s="33"/>
      <c r="J14" s="40">
        <f>C36*'E Balans VL '!D24/100/3.6*1000000+C36*'E Balans VL '!E24/100/3.6*1000000</f>
        <v>0</v>
      </c>
      <c r="K14" s="33"/>
      <c r="L14" s="33"/>
      <c r="M14" s="33"/>
      <c r="N14" s="33">
        <f>C36*'E Balans VL '!Y24/100/3.6*1000000</f>
        <v>15.10408934657065</v>
      </c>
      <c r="O14" s="33"/>
      <c r="P14" s="33"/>
      <c r="R14" s="32"/>
    </row>
    <row r="15" spans="1:18">
      <c r="A15" s="6" t="s">
        <v>270</v>
      </c>
      <c r="B15" s="37">
        <f t="shared" si="0"/>
        <v>32278.536</v>
      </c>
      <c r="C15" s="33"/>
      <c r="D15" s="37">
        <f>IF( ISERROR(IND_rest_gas_kWh/1000),0,IND_rest_gas_kWh/1000)*0.902</f>
        <v>37008.744821345172</v>
      </c>
      <c r="E15" s="33">
        <f>C37*'E Balans VL '!I15/100/3.6*1000000</f>
        <v>1642.1095238184346</v>
      </c>
      <c r="F15" s="33">
        <f>C37*'E Balans VL '!L15/100/3.6*1000000+C37*'E Balans VL '!N15/100/3.6*1000000</f>
        <v>7357.4928089810428</v>
      </c>
      <c r="G15" s="34"/>
      <c r="H15" s="33"/>
      <c r="I15" s="33"/>
      <c r="J15" s="40">
        <f>C37*'E Balans VL '!D15/100/3.6*1000000+C37*'E Balans VL '!E15/100/3.6*1000000</f>
        <v>135.41912208489416</v>
      </c>
      <c r="K15" s="33"/>
      <c r="L15" s="33"/>
      <c r="M15" s="33"/>
      <c r="N15" s="33">
        <f>C37*'E Balans VL '!Y15/100/3.6*1000000</f>
        <v>6064.6165919779651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57301.423909999998</v>
      </c>
      <c r="C18" s="21">
        <f>C5+C16</f>
        <v>0</v>
      </c>
      <c r="D18" s="21">
        <f>MAX((D5+D16),0)</f>
        <v>41478.902748886598</v>
      </c>
      <c r="E18" s="21">
        <f>MAX((E5+E16),0)</f>
        <v>3737.5038349047118</v>
      </c>
      <c r="F18" s="21">
        <f>MAX((F5+F16),0)</f>
        <v>34375.696339882503</v>
      </c>
      <c r="G18" s="21"/>
      <c r="H18" s="21"/>
      <c r="I18" s="21"/>
      <c r="J18" s="21">
        <f>MAX((J5+J16),0)</f>
        <v>388.90020689393543</v>
      </c>
      <c r="K18" s="21"/>
      <c r="L18" s="21">
        <f>MAX((L5+L16),0)</f>
        <v>0</v>
      </c>
      <c r="M18" s="21"/>
      <c r="N18" s="21">
        <f>MAX((N5+N16),0)</f>
        <v>13951.917836882807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0.14875996738856428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8524.1579521698968</v>
      </c>
      <c r="C22" s="23">
        <f ca="1">C18*C20</f>
        <v>0</v>
      </c>
      <c r="D22" s="23">
        <f>D18*D20</f>
        <v>8378.7383552750925</v>
      </c>
      <c r="E22" s="23">
        <f>E18*E20</f>
        <v>848.41337052336962</v>
      </c>
      <c r="F22" s="23">
        <f>F18*F20</f>
        <v>9178.3109227486293</v>
      </c>
      <c r="G22" s="23"/>
      <c r="H22" s="23"/>
      <c r="I22" s="23"/>
      <c r="J22" s="23">
        <f>J18*J20</f>
        <v>137.67067324045314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5840.27</v>
      </c>
      <c r="C30" s="39">
        <f>IF(ISERROR(B30*3.6/1000000/'E Balans VL '!Z18*100),0,B30*3.6/1000000/'E Balans VL '!Z18*100)</f>
        <v>0.81744317085212259</v>
      </c>
      <c r="D30" s="237" t="s">
        <v>692</v>
      </c>
    </row>
    <row r="31" spans="1:18">
      <c r="A31" s="6" t="s">
        <v>33</v>
      </c>
      <c r="B31" s="37">
        <f>IF( ISERROR(IND_ander_ele_kWh/1000),0,IND_ander_ele_kWh/1000)</f>
        <v>6674.915</v>
      </c>
      <c r="C31" s="39">
        <f>IF(ISERROR(B31*3.6/1000000/'E Balans VL '!Z19*100),0,B31*3.6/1000000/'E Balans VL '!Z19*100)</f>
        <v>0.29215994672494533</v>
      </c>
      <c r="D31" s="237" t="s">
        <v>692</v>
      </c>
    </row>
    <row r="32" spans="1:18">
      <c r="A32" s="171" t="s">
        <v>41</v>
      </c>
      <c r="B32" s="37">
        <f>IF( ISERROR(IND_voed_ele_kWh/1000),0,IND_voed_ele_kWh/1000)</f>
        <v>10525.541999999999</v>
      </c>
      <c r="C32" s="39">
        <f>IF(ISERROR(B32*3.6/1000000/'E Balans VL '!Z20*100),0,B32*3.6/1000000/'E Balans VL '!Z20*100)</f>
        <v>2.6057746631912111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1059.1099999999999</v>
      </c>
      <c r="C34" s="39">
        <f>IF(ISERROR(B34*3.6/1000000/'E Balans VL '!Z22*100),0,B34*3.6/1000000/'E Balans VL '!Z22*100)</f>
        <v>3.0053220863426378E-2</v>
      </c>
      <c r="D34" s="237" t="s">
        <v>692</v>
      </c>
    </row>
    <row r="35" spans="1:5">
      <c r="A35" s="171" t="s">
        <v>39</v>
      </c>
      <c r="B35" s="37">
        <f>IF( ISERROR(IND_papier_ele_kWh/1000),0,IND_papier_ele_kWh/1000)</f>
        <v>38.970510000000004</v>
      </c>
      <c r="C35" s="39">
        <f>IF(ISERROR(B35*3.6/1000000/'E Balans VL '!Z22*100),0,B35*3.6/1000000/'E Balans VL '!Z22*100)</f>
        <v>1.105824082664092E-3</v>
      </c>
      <c r="D35" s="237" t="s">
        <v>692</v>
      </c>
    </row>
    <row r="36" spans="1:5">
      <c r="A36" s="171" t="s">
        <v>34</v>
      </c>
      <c r="B36" s="37">
        <f>IF( ISERROR(IND_chemie_ele_kWh/1000),0,IND_chemie_ele_kWh/1000)</f>
        <v>884.08040000000005</v>
      </c>
      <c r="C36" s="39">
        <f>IF(ISERROR(B36*3.6/1000000/'E Balans VL '!Z24*100),0,B36*3.6/1000000/'E Balans VL '!Z24*100)</f>
        <v>2.2542700795446159E-2</v>
      </c>
      <c r="D36" s="237" t="s">
        <v>692</v>
      </c>
    </row>
    <row r="37" spans="1:5">
      <c r="A37" s="171" t="s">
        <v>270</v>
      </c>
      <c r="B37" s="37">
        <f>IF( ISERROR(IND_rest_ele_kWh/1000),0,IND_rest_ele_kWh/1000)</f>
        <v>32278.536</v>
      </c>
      <c r="C37" s="39">
        <f>IF(ISERROR(B37*3.6/1000000/'E Balans VL '!Z15*100),0,B37*3.6/1000000/'E Balans VL '!Z15*100)</f>
        <v>0.23933981812078262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1360.0417</v>
      </c>
      <c r="C5" s="17">
        <f>'Eigen informatie GS &amp; warmtenet'!B60</f>
        <v>0</v>
      </c>
      <c r="D5" s="30">
        <f>IF(ISERROR(SUM(LB_lb_gas_kWh,LB_rest_gas_kWh,onbekend_gas_kWh)/1000),0,SUM(LB_lb_gas_kWh,LB_rest_gas_kWh,onbekend_gas_kWh)/1000)*0.902</f>
        <v>6892.3026657785376</v>
      </c>
      <c r="E5" s="17">
        <f>B17*'E Balans VL '!I25/3.6*1000000/100</f>
        <v>12.597275863226166</v>
      </c>
      <c r="F5" s="17">
        <f>B17*('E Balans VL '!L25/3.6*1000000+'E Balans VL '!N25/3.6*1000000)/100</f>
        <v>3450.6848805779696</v>
      </c>
      <c r="G5" s="18"/>
      <c r="H5" s="17"/>
      <c r="I5" s="17"/>
      <c r="J5" s="17">
        <f>('E Balans VL '!D25+'E Balans VL '!E25)/3.6*1000000*landbouw!B17/100</f>
        <v>208.50957071967082</v>
      </c>
      <c r="K5" s="17"/>
      <c r="L5" s="17">
        <f>L6*(-1)</f>
        <v>0</v>
      </c>
      <c r="M5" s="17"/>
      <c r="N5" s="17">
        <f>N6*(-1)</f>
        <v>49551.428571428572</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-49551.428571428572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1360.0417</v>
      </c>
      <c r="C8" s="21">
        <f>C5+C6</f>
        <v>0</v>
      </c>
      <c r="D8" s="21">
        <f>MAX((D5+D6),0)</f>
        <v>6892.3026657785376</v>
      </c>
      <c r="E8" s="21">
        <f>MAX((E5+E6),0)</f>
        <v>12.597275863226166</v>
      </c>
      <c r="F8" s="21">
        <f>MAX((F5+F6),0)</f>
        <v>3450.6848805779696</v>
      </c>
      <c r="G8" s="21"/>
      <c r="H8" s="21"/>
      <c r="I8" s="21"/>
      <c r="J8" s="21">
        <f>MAX((J5+J6),0)</f>
        <v>208.50957071967082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0.14875996738856428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202.31975893908754</v>
      </c>
      <c r="C12" s="23">
        <f ca="1">C8*C10</f>
        <v>0</v>
      </c>
      <c r="D12" s="23">
        <f>D8*D10</f>
        <v>1392.2451384872647</v>
      </c>
      <c r="E12" s="23">
        <f>E8*E10</f>
        <v>2.8595816209523397</v>
      </c>
      <c r="F12" s="23">
        <f>F8*F10</f>
        <v>921.33286311431789</v>
      </c>
      <c r="G12" s="23"/>
      <c r="H12" s="23"/>
      <c r="I12" s="23"/>
      <c r="J12" s="23">
        <f>J8*J10</f>
        <v>73.812388034763472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0.19336909187136125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504.41718084650557</v>
      </c>
      <c r="C26" s="247">
        <f>B26*'GWP N2O_CH4'!B5</f>
        <v>10592.760797776617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141.86992340803579</v>
      </c>
      <c r="C27" s="247">
        <f>B27*'GWP N2O_CH4'!B5</f>
        <v>2979.2683915687517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6.8989101034987046</v>
      </c>
      <c r="C28" s="247">
        <f>B28*'GWP N2O_CH4'!B4</f>
        <v>2138.6621320845984</v>
      </c>
      <c r="D28" s="50"/>
    </row>
    <row r="29" spans="1:4">
      <c r="A29" s="41" t="s">
        <v>277</v>
      </c>
      <c r="B29" s="247">
        <f>B34*'ha_N2O bodem landbouw'!B4</f>
        <v>15.788192347000667</v>
      </c>
      <c r="C29" s="247">
        <f>B29*'GWP N2O_CH4'!B4</f>
        <v>4894.3396275702071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3.5410133979475486E-3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5.2047954900643913E-5</v>
      </c>
      <c r="C5" s="464" t="s">
        <v>211</v>
      </c>
      <c r="D5" s="449">
        <f>SUM(D6:D11)</f>
        <v>1.3009507016983641E-4</v>
      </c>
      <c r="E5" s="449">
        <f>SUM(E6:E11)</f>
        <v>8.4611054093972668E-4</v>
      </c>
      <c r="F5" s="462" t="s">
        <v>211</v>
      </c>
      <c r="G5" s="449">
        <f>SUM(G6:G11)</f>
        <v>0.26134021664011059</v>
      </c>
      <c r="H5" s="449">
        <f>SUM(H6:H11)</f>
        <v>4.9460337362808492E-2</v>
      </c>
      <c r="I5" s="464" t="s">
        <v>211</v>
      </c>
      <c r="J5" s="464" t="s">
        <v>211</v>
      </c>
      <c r="K5" s="464" t="s">
        <v>211</v>
      </c>
      <c r="L5" s="464" t="s">
        <v>211</v>
      </c>
      <c r="M5" s="449">
        <f>SUM(M6:M11)</f>
        <v>1.6639914939600729E-2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4.4213630643707677E-5</v>
      </c>
      <c r="C6" s="450"/>
      <c r="D6" s="963">
        <f>vkm_2011_GW_PW*SUMIFS(TableVerdeelsleutelVkm[CNG],TableVerdeelsleutelVkm[Voertuigtype],"Lichte voertuigen")*SUMIFS(TableECFTransport[EnergieConsumptieFactor (PJ per km)],TableECFTransport[Index],CONCATENATE($A6,"_CNG_CNG"))</f>
        <v>1.0227099539798598E-4</v>
      </c>
      <c r="E6" s="963">
        <f>vkm_2011_GW_PW*SUMIFS(TableVerdeelsleutelVkm[LPG],TableVerdeelsleutelVkm[Voertuigtype],"Lichte voertuigen")*SUMIFS(TableECFTransport[EnergieConsumptieFactor (PJ per km)],TableECFTransport[Index],CONCATENATE($A6,"_LPG_LPG"))</f>
        <v>6.6592696230749623E-4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0.13834139971197373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3.8995581668363796E-2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9.2028700308218261E-3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7.4809109128703657E-2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2.5583356725308335E-5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4.3281310003694274E-3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5.2964731778955819E-6</v>
      </c>
      <c r="C8" s="450"/>
      <c r="D8" s="452">
        <f>vkm_2011_NGW_PW*SUMIFS(TableVerdeelsleutelVkm[CNG],TableVerdeelsleutelVkm[Voertuigtype],"Lichte voertuigen")*SUMIFS(TableECFTransport[EnergieConsumptieFactor (PJ per km)],TableECFTransport[Index],CONCATENATE($A8,"_CNG_CNG"))</f>
        <v>2.1669014571783425E-5</v>
      </c>
      <c r="E8" s="452">
        <f>vkm_2011_NGW_PW*SUMIFS(TableVerdeelsleutelVkm[LPG],TableVerdeelsleutelVkm[Voertuigtype],"Lichte voertuigen")*SUMIFS(TableECFTransport[EnergieConsumptieFactor (PJ per km)],TableECFTransport[Index],CONCATENATE($A8,"_LPG_LPG"))</f>
        <v>1.3021650167619473E-4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2.5287853329073962E-2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7.989081624808117E-3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1.7087260415961395E-3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2.2414808451480155E-3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7.253170911862164E-7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1.2968110294366556E-4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2.5378510790406563E-6</v>
      </c>
      <c r="C10" s="450"/>
      <c r="D10" s="452">
        <f>vkm_2011_SW_PW*SUMIFS(TableVerdeelsleutelVkm[CNG],TableVerdeelsleutelVkm[Voertuigtype],"Lichte voertuigen")*SUMIFS(TableECFTransport[EnergieConsumptieFactor (PJ per km)],TableECFTransport[Index],CONCATENATE($A10,"_CNG_CNG"))</f>
        <v>6.1550602000670124E-6</v>
      </c>
      <c r="E10" s="452">
        <f>vkm_2011_SW_PW*SUMIFS(TableVerdeelsleutelVkm[LPG],TableVerdeelsleutelVkm[Voertuigtype],"Lichte voertuigen")*SUMIFS(TableECFTransport[EnergieConsumptieFactor (PJ per km)],TableECFTransport[Index],CONCATENATE($A10,"_LPG_LPG"))</f>
        <v>4.9967076956035773E-5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9.3452780697217026E-3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2.4451950785998049E-3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6.1585509011157012E-4</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1.1315095555489528E-2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4.1703172202737906E-6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6.5465167375810152E-4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14.457765250178864</v>
      </c>
      <c r="C14" s="21"/>
      <c r="D14" s="21">
        <f t="shared" ref="D14:M14" si="0">((D5)*10^9/3600)+D12</f>
        <v>36.137519491621219</v>
      </c>
      <c r="E14" s="21">
        <f t="shared" si="0"/>
        <v>235.03070581659074</v>
      </c>
      <c r="F14" s="21"/>
      <c r="G14" s="21">
        <f t="shared" si="0"/>
        <v>72594.504622252934</v>
      </c>
      <c r="H14" s="21">
        <f t="shared" si="0"/>
        <v>13738.982600780135</v>
      </c>
      <c r="I14" s="21"/>
      <c r="J14" s="21"/>
      <c r="K14" s="21"/>
      <c r="L14" s="21"/>
      <c r="M14" s="21">
        <f t="shared" si="0"/>
        <v>4622.1985943335358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0.14875996738856428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2.1507366871281257</v>
      </c>
      <c r="C18" s="23"/>
      <c r="D18" s="23">
        <f t="shared" ref="D18:M18" si="1">D14*D16</f>
        <v>7.2997789373074866</v>
      </c>
      <c r="E18" s="23">
        <f t="shared" si="1"/>
        <v>53.351970220366098</v>
      </c>
      <c r="F18" s="23"/>
      <c r="G18" s="23">
        <f t="shared" si="1"/>
        <v>19382.732734141533</v>
      </c>
      <c r="H18" s="23">
        <f t="shared" si="1"/>
        <v>3421.0066675942535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1.005921266285704E-2</v>
      </c>
      <c r="H50" s="321">
        <f t="shared" si="2"/>
        <v>0</v>
      </c>
      <c r="I50" s="321">
        <f t="shared" si="2"/>
        <v>0</v>
      </c>
      <c r="J50" s="321">
        <f t="shared" si="2"/>
        <v>0</v>
      </c>
      <c r="K50" s="321">
        <f t="shared" si="2"/>
        <v>0</v>
      </c>
      <c r="L50" s="321">
        <f t="shared" si="2"/>
        <v>0</v>
      </c>
      <c r="M50" s="321">
        <f t="shared" si="2"/>
        <v>5.7364757397373946E-4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1.005921266285704E-2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5.7364757397373946E-4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2794.2257396825107</v>
      </c>
      <c r="H54" s="21">
        <f t="shared" si="3"/>
        <v>0</v>
      </c>
      <c r="I54" s="21">
        <f t="shared" si="3"/>
        <v>0</v>
      </c>
      <c r="J54" s="21">
        <f t="shared" si="3"/>
        <v>0</v>
      </c>
      <c r="K54" s="21">
        <f t="shared" si="3"/>
        <v>0</v>
      </c>
      <c r="L54" s="21">
        <f t="shared" si="3"/>
        <v>0</v>
      </c>
      <c r="M54" s="21">
        <f t="shared" si="3"/>
        <v>159.34654832603871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0.14875996738856428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746.05827249523043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7727.6155042462133</v>
      </c>
      <c r="C6" s="1216"/>
      <c r="D6" s="1201"/>
      <c r="E6" s="1201"/>
      <c r="F6" s="1219"/>
      <c r="G6" s="1222"/>
      <c r="H6" s="1213"/>
      <c r="I6" s="1201"/>
      <c r="J6" s="1201"/>
      <c r="K6" s="1201"/>
      <c r="L6" s="1205"/>
      <c r="M6" s="576"/>
      <c r="N6" s="1179"/>
      <c r="O6" s="1180"/>
      <c r="Q6" s="574"/>
      <c r="R6" s="1167"/>
      <c r="S6" s="1167"/>
    </row>
    <row r="7" spans="1:19" s="564" customFormat="1">
      <c r="A7" s="577" t="s">
        <v>252</v>
      </c>
      <c r="B7" s="578">
        <f>N57</f>
        <v>15961.5</v>
      </c>
      <c r="C7" s="579">
        <f>B100</f>
        <v>0</v>
      </c>
      <c r="D7" s="580"/>
      <c r="E7" s="580">
        <f>E100</f>
        <v>0</v>
      </c>
      <c r="F7" s="581"/>
      <c r="G7" s="582"/>
      <c r="H7" s="580">
        <f>I100</f>
        <v>0</v>
      </c>
      <c r="I7" s="580">
        <f>G100+F100</f>
        <v>0</v>
      </c>
      <c r="J7" s="580">
        <f>H100+D100+C100</f>
        <v>18778.23529411765</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17343</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49551.428571428572</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41032.115504246212</v>
      </c>
      <c r="C9" s="595">
        <f t="shared" ref="C9:L9" si="0">SUM(C7:C8)</f>
        <v>0</v>
      </c>
      <c r="D9" s="595">
        <f t="shared" si="0"/>
        <v>0</v>
      </c>
      <c r="E9" s="595">
        <f t="shared" si="0"/>
        <v>0</v>
      </c>
      <c r="F9" s="595">
        <f t="shared" si="0"/>
        <v>0</v>
      </c>
      <c r="G9" s="595">
        <f t="shared" si="0"/>
        <v>0</v>
      </c>
      <c r="H9" s="595">
        <f t="shared" si="0"/>
        <v>0</v>
      </c>
      <c r="I9" s="595">
        <f t="shared" si="0"/>
        <v>0</v>
      </c>
      <c r="J9" s="595">
        <f t="shared" si="0"/>
        <v>68329.66386554623</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22802.142857142859</v>
      </c>
      <c r="C16" s="611">
        <f>B101</f>
        <v>0</v>
      </c>
      <c r="D16" s="612"/>
      <c r="E16" s="612">
        <f>E101</f>
        <v>0</v>
      </c>
      <c r="F16" s="613"/>
      <c r="G16" s="614"/>
      <c r="H16" s="611">
        <f>I101</f>
        <v>0</v>
      </c>
      <c r="I16" s="612">
        <f>G101+F101</f>
        <v>0</v>
      </c>
      <c r="J16" s="612">
        <f>H101+D101+C101</f>
        <v>26826.050420168071</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22802.142857142859</v>
      </c>
      <c r="C19" s="594">
        <f>SUM(C16:C18)</f>
        <v>0</v>
      </c>
      <c r="D19" s="594">
        <f t="shared" ref="D19:M19" si="1">SUM(D16:D18)</f>
        <v>0</v>
      </c>
      <c r="E19" s="594">
        <f t="shared" si="1"/>
        <v>0</v>
      </c>
      <c r="F19" s="594">
        <f t="shared" si="1"/>
        <v>0</v>
      </c>
      <c r="G19" s="594">
        <f t="shared" si="1"/>
        <v>0</v>
      </c>
      <c r="H19" s="594">
        <f t="shared" si="1"/>
        <v>0</v>
      </c>
      <c r="I19" s="594">
        <f t="shared" si="1"/>
        <v>0</v>
      </c>
      <c r="J19" s="594">
        <f t="shared" si="1"/>
        <v>26826.050420168071</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11057</v>
      </c>
      <c r="C27" s="852">
        <v>2390</v>
      </c>
      <c r="D27" s="673" t="s">
        <v>834</v>
      </c>
      <c r="E27" s="672" t="s">
        <v>835</v>
      </c>
      <c r="F27" s="672" t="s">
        <v>836</v>
      </c>
      <c r="G27" s="672" t="s">
        <v>837</v>
      </c>
      <c r="H27" s="672" t="s">
        <v>838</v>
      </c>
      <c r="I27" s="672" t="s">
        <v>835</v>
      </c>
      <c r="J27" s="851">
        <v>40029</v>
      </c>
      <c r="K27" s="851">
        <v>39022</v>
      </c>
      <c r="L27" s="672" t="s">
        <v>839</v>
      </c>
      <c r="M27" s="672">
        <v>3547</v>
      </c>
      <c r="N27" s="672">
        <v>15961.5</v>
      </c>
      <c r="O27" s="672">
        <v>22802.142857142859</v>
      </c>
      <c r="P27" s="672">
        <v>0</v>
      </c>
      <c r="Q27" s="672">
        <v>45604.285714285717</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3547</v>
      </c>
      <c r="N57" s="630">
        <f>SUM(N27:N56)</f>
        <v>15961.5</v>
      </c>
      <c r="O57" s="630">
        <f t="shared" ref="O57:W57" si="2">SUM(O27:O56)</f>
        <v>22802.142857142859</v>
      </c>
      <c r="P57" s="630">
        <f t="shared" si="2"/>
        <v>0</v>
      </c>
      <c r="Q57" s="630">
        <f t="shared" si="2"/>
        <v>45604.285714285717</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3547</v>
      </c>
      <c r="N59" s="630">
        <f ca="1">SUMIF($Z$27:AB56,"tertiair",N27:N56)</f>
        <v>15961.5</v>
      </c>
      <c r="O59" s="630">
        <f ca="1">SUMIF($Z$27:AC56,"tertiair",O27:O56)</f>
        <v>22802.142857142859</v>
      </c>
      <c r="P59" s="630">
        <f ca="1">SUMIF($Z$27:AD56,"tertiair",P27:P56)</f>
        <v>0</v>
      </c>
      <c r="Q59" s="630">
        <f ca="1">SUMIF($Z$27:AE56,"tertiair",Q27:Q56)</f>
        <v>45604.285714285717</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38.25">
      <c r="A63" s="627"/>
      <c r="B63" s="852">
        <v>11057</v>
      </c>
      <c r="C63" s="852">
        <v>2390</v>
      </c>
      <c r="D63" s="675" t="s">
        <v>840</v>
      </c>
      <c r="E63" s="675" t="s">
        <v>841</v>
      </c>
      <c r="F63" s="675" t="s">
        <v>842</v>
      </c>
      <c r="G63" s="675" t="s">
        <v>843</v>
      </c>
      <c r="H63" s="675" t="s">
        <v>844</v>
      </c>
      <c r="I63" s="675" t="s">
        <v>841</v>
      </c>
      <c r="J63" s="851">
        <v>39859</v>
      </c>
      <c r="K63" s="851">
        <v>38018</v>
      </c>
      <c r="L63" s="675" t="s">
        <v>845</v>
      </c>
      <c r="M63" s="675">
        <v>3854</v>
      </c>
      <c r="N63" s="675">
        <v>17343</v>
      </c>
      <c r="O63" s="675">
        <v>0</v>
      </c>
      <c r="P63" s="675">
        <v>0</v>
      </c>
      <c r="Q63" s="675">
        <v>49551.428571428572</v>
      </c>
      <c r="R63" s="675">
        <v>0</v>
      </c>
      <c r="S63" s="675">
        <v>0</v>
      </c>
      <c r="T63" s="675">
        <v>0</v>
      </c>
      <c r="U63" s="675">
        <v>0</v>
      </c>
      <c r="V63" s="675">
        <v>0</v>
      </c>
      <c r="W63" s="675">
        <v>0</v>
      </c>
      <c r="X63" s="675">
        <v>10</v>
      </c>
      <c r="Y63" s="675" t="s">
        <v>112</v>
      </c>
      <c r="Z63" s="676" t="s">
        <v>112</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3854</v>
      </c>
      <c r="N88" s="630">
        <f t="shared" ref="N88:W88" si="5">SUM(N63:N87)</f>
        <v>17343</v>
      </c>
      <c r="O88" s="630">
        <f t="shared" si="5"/>
        <v>0</v>
      </c>
      <c r="P88" s="630">
        <f t="shared" si="5"/>
        <v>0</v>
      </c>
      <c r="Q88" s="630">
        <f t="shared" si="5"/>
        <v>49551.428571428572</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3854</v>
      </c>
      <c r="N91" s="635">
        <f t="shared" si="8"/>
        <v>17343</v>
      </c>
      <c r="O91" s="635">
        <f t="shared" si="8"/>
        <v>0</v>
      </c>
      <c r="P91" s="635">
        <f t="shared" si="8"/>
        <v>0</v>
      </c>
      <c r="Q91" s="635">
        <f t="shared" si="8"/>
        <v>49551.428571428572</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18778.23529411765</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26826.050420168071</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38502.593000000001</v>
      </c>
      <c r="D10" s="719">
        <f ca="1">tertiair!C16</f>
        <v>22802.142857142859</v>
      </c>
      <c r="E10" s="719">
        <f ca="1">tertiair!D16</f>
        <v>34835.175505367893</v>
      </c>
      <c r="F10" s="719">
        <f>tertiair!E16</f>
        <v>246.10624417320008</v>
      </c>
      <c r="G10" s="719">
        <f ca="1">tertiair!F16</f>
        <v>3512.1588118628911</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4.6900000000000004</v>
      </c>
      <c r="Q10" s="720">
        <f>tertiair!P16</f>
        <v>76.266666666666666</v>
      </c>
      <c r="R10" s="722">
        <f ca="1">SUM(C10:Q10)</f>
        <v>99979.133085213514</v>
      </c>
      <c r="S10" s="67"/>
    </row>
    <row r="11" spans="1:19" s="475" customFormat="1">
      <c r="A11" s="871" t="s">
        <v>225</v>
      </c>
      <c r="B11" s="876"/>
      <c r="C11" s="719">
        <f>huishoudens!B8</f>
        <v>28348.801354710529</v>
      </c>
      <c r="D11" s="719">
        <f>huishoudens!C8</f>
        <v>0</v>
      </c>
      <c r="E11" s="719">
        <f>huishoudens!D8</f>
        <v>67108.73925043513</v>
      </c>
      <c r="F11" s="719">
        <f>huishoudens!E8</f>
        <v>1851.8865239312122</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14421.896393677969</v>
      </c>
      <c r="P11" s="719">
        <f>huishoudens!O8</f>
        <v>170.40333333333334</v>
      </c>
      <c r="Q11" s="720">
        <f>huishoudens!P8</f>
        <v>591.06666666666661</v>
      </c>
      <c r="R11" s="722">
        <f>SUM(C11:Q11)</f>
        <v>112492.79352275483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57301.423909999998</v>
      </c>
      <c r="D13" s="719">
        <f>industrie!C18</f>
        <v>0</v>
      </c>
      <c r="E13" s="719">
        <f>industrie!D18</f>
        <v>41478.902748886598</v>
      </c>
      <c r="F13" s="719">
        <f>industrie!E18</f>
        <v>3737.5038349047118</v>
      </c>
      <c r="G13" s="719">
        <f>industrie!F18</f>
        <v>34375.696339882503</v>
      </c>
      <c r="H13" s="719">
        <f>industrie!G18</f>
        <v>0</v>
      </c>
      <c r="I13" s="719">
        <f>industrie!H18</f>
        <v>0</v>
      </c>
      <c r="J13" s="719">
        <f>industrie!I18</f>
        <v>0</v>
      </c>
      <c r="K13" s="719">
        <f>industrie!J18</f>
        <v>388.90020689393543</v>
      </c>
      <c r="L13" s="719">
        <f>industrie!K18</f>
        <v>0</v>
      </c>
      <c r="M13" s="719">
        <f>industrie!L18</f>
        <v>0</v>
      </c>
      <c r="N13" s="719">
        <f>industrie!M18</f>
        <v>0</v>
      </c>
      <c r="O13" s="719">
        <f>industrie!N18</f>
        <v>13951.917836882807</v>
      </c>
      <c r="P13" s="719">
        <f>industrie!O18</f>
        <v>0</v>
      </c>
      <c r="Q13" s="720">
        <f>industrie!P18</f>
        <v>0</v>
      </c>
      <c r="R13" s="722">
        <f>SUM(C13:Q13)</f>
        <v>151234.34487745058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124152.81826471053</v>
      </c>
      <c r="D15" s="724">
        <f t="shared" ref="D15:Q15" ca="1" si="0">SUM(D9:D14)</f>
        <v>22802.142857142859</v>
      </c>
      <c r="E15" s="724">
        <f t="shared" ca="1" si="0"/>
        <v>143422.81750468962</v>
      </c>
      <c r="F15" s="724">
        <f t="shared" si="0"/>
        <v>5835.4966030091236</v>
      </c>
      <c r="G15" s="724">
        <f t="shared" ca="1" si="0"/>
        <v>37887.855151745396</v>
      </c>
      <c r="H15" s="724">
        <f t="shared" si="0"/>
        <v>0</v>
      </c>
      <c r="I15" s="724">
        <f t="shared" si="0"/>
        <v>0</v>
      </c>
      <c r="J15" s="724">
        <f t="shared" si="0"/>
        <v>0</v>
      </c>
      <c r="K15" s="724">
        <f t="shared" si="0"/>
        <v>388.90020689393543</v>
      </c>
      <c r="L15" s="724">
        <f t="shared" si="0"/>
        <v>0</v>
      </c>
      <c r="M15" s="724">
        <f t="shared" ca="1" si="0"/>
        <v>0</v>
      </c>
      <c r="N15" s="724">
        <f t="shared" si="0"/>
        <v>0</v>
      </c>
      <c r="O15" s="724">
        <f t="shared" ca="1" si="0"/>
        <v>28373.814230560776</v>
      </c>
      <c r="P15" s="724">
        <f t="shared" si="0"/>
        <v>175.09333333333333</v>
      </c>
      <c r="Q15" s="725">
        <f t="shared" si="0"/>
        <v>667.33333333333326</v>
      </c>
      <c r="R15" s="726">
        <f ca="1">SUM(R9:R14)</f>
        <v>363706.2714854189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2794.2257396825107</v>
      </c>
      <c r="I18" s="719">
        <f>transport!H54</f>
        <v>0</v>
      </c>
      <c r="J18" s="719">
        <f>transport!I54</f>
        <v>0</v>
      </c>
      <c r="K18" s="719">
        <f>transport!J54</f>
        <v>0</v>
      </c>
      <c r="L18" s="719">
        <f>transport!K54</f>
        <v>0</v>
      </c>
      <c r="M18" s="719">
        <f>transport!L54</f>
        <v>0</v>
      </c>
      <c r="N18" s="719">
        <f>transport!M54</f>
        <v>159.34654832603871</v>
      </c>
      <c r="O18" s="719">
        <f>transport!N54</f>
        <v>0</v>
      </c>
      <c r="P18" s="719">
        <f>transport!O54</f>
        <v>0</v>
      </c>
      <c r="Q18" s="720">
        <f>transport!P54</f>
        <v>0</v>
      </c>
      <c r="R18" s="722">
        <f>SUM(C18:Q18)</f>
        <v>2953.5722880085495</v>
      </c>
      <c r="S18" s="67"/>
    </row>
    <row r="19" spans="1:19" s="475" customFormat="1" ht="15" thickBot="1">
      <c r="A19" s="871" t="s">
        <v>307</v>
      </c>
      <c r="B19" s="876"/>
      <c r="C19" s="728">
        <f>transport!B14</f>
        <v>14.457765250178864</v>
      </c>
      <c r="D19" s="728">
        <f>transport!C14</f>
        <v>0</v>
      </c>
      <c r="E19" s="728">
        <f>transport!D14</f>
        <v>36.137519491621219</v>
      </c>
      <c r="F19" s="728">
        <f>transport!E14</f>
        <v>235.03070581659074</v>
      </c>
      <c r="G19" s="728">
        <f>transport!F14</f>
        <v>0</v>
      </c>
      <c r="H19" s="728">
        <f>transport!G14</f>
        <v>72594.504622252934</v>
      </c>
      <c r="I19" s="728">
        <f>transport!H14</f>
        <v>13738.982600780135</v>
      </c>
      <c r="J19" s="728">
        <f>transport!I14</f>
        <v>0</v>
      </c>
      <c r="K19" s="728">
        <f>transport!J14</f>
        <v>0</v>
      </c>
      <c r="L19" s="728">
        <f>transport!K14</f>
        <v>0</v>
      </c>
      <c r="M19" s="728">
        <f>transport!L14</f>
        <v>0</v>
      </c>
      <c r="N19" s="728">
        <f>transport!M14</f>
        <v>4622.1985943335358</v>
      </c>
      <c r="O19" s="728">
        <f>transport!N14</f>
        <v>0</v>
      </c>
      <c r="P19" s="728">
        <f>transport!O14</f>
        <v>0</v>
      </c>
      <c r="Q19" s="729">
        <f>transport!P14</f>
        <v>0</v>
      </c>
      <c r="R19" s="730">
        <f>SUM(C19:Q19)</f>
        <v>91241.311807924983</v>
      </c>
      <c r="S19" s="67"/>
    </row>
    <row r="20" spans="1:19" s="475" customFormat="1" ht="15.75" thickBot="1">
      <c r="A20" s="731" t="s">
        <v>230</v>
      </c>
      <c r="B20" s="879"/>
      <c r="C20" s="874">
        <f>SUM(C17:C19)</f>
        <v>14.457765250178864</v>
      </c>
      <c r="D20" s="732">
        <f t="shared" ref="D20:R20" si="1">SUM(D17:D19)</f>
        <v>0</v>
      </c>
      <c r="E20" s="732">
        <f t="shared" si="1"/>
        <v>36.137519491621219</v>
      </c>
      <c r="F20" s="732">
        <f t="shared" si="1"/>
        <v>235.03070581659074</v>
      </c>
      <c r="G20" s="732">
        <f t="shared" si="1"/>
        <v>0</v>
      </c>
      <c r="H20" s="732">
        <f t="shared" si="1"/>
        <v>75388.73036193545</v>
      </c>
      <c r="I20" s="732">
        <f t="shared" si="1"/>
        <v>13738.982600780135</v>
      </c>
      <c r="J20" s="732">
        <f t="shared" si="1"/>
        <v>0</v>
      </c>
      <c r="K20" s="732">
        <f t="shared" si="1"/>
        <v>0</v>
      </c>
      <c r="L20" s="732">
        <f t="shared" si="1"/>
        <v>0</v>
      </c>
      <c r="M20" s="732">
        <f t="shared" si="1"/>
        <v>0</v>
      </c>
      <c r="N20" s="732">
        <f t="shared" si="1"/>
        <v>4781.5451426595746</v>
      </c>
      <c r="O20" s="732">
        <f t="shared" si="1"/>
        <v>0</v>
      </c>
      <c r="P20" s="732">
        <f t="shared" si="1"/>
        <v>0</v>
      </c>
      <c r="Q20" s="733">
        <f t="shared" si="1"/>
        <v>0</v>
      </c>
      <c r="R20" s="734">
        <f t="shared" si="1"/>
        <v>94194.884095933536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1360.0417</v>
      </c>
      <c r="D22" s="728">
        <f>+landbouw!C8</f>
        <v>0</v>
      </c>
      <c r="E22" s="728">
        <f>+landbouw!D8</f>
        <v>6892.3026657785376</v>
      </c>
      <c r="F22" s="728">
        <f>+landbouw!E8</f>
        <v>12.597275863226166</v>
      </c>
      <c r="G22" s="728">
        <f>+landbouw!F8</f>
        <v>3450.6848805779696</v>
      </c>
      <c r="H22" s="728">
        <f>+landbouw!G8</f>
        <v>0</v>
      </c>
      <c r="I22" s="728">
        <f>+landbouw!H8</f>
        <v>0</v>
      </c>
      <c r="J22" s="728">
        <f>+landbouw!I8</f>
        <v>0</v>
      </c>
      <c r="K22" s="728">
        <f>+landbouw!J8</f>
        <v>208.50957071967082</v>
      </c>
      <c r="L22" s="728">
        <f>+landbouw!K8</f>
        <v>0</v>
      </c>
      <c r="M22" s="728">
        <f>+landbouw!L8</f>
        <v>0</v>
      </c>
      <c r="N22" s="728">
        <f>+landbouw!M8</f>
        <v>0</v>
      </c>
      <c r="O22" s="728">
        <f>+landbouw!N8</f>
        <v>0</v>
      </c>
      <c r="P22" s="728">
        <f>+landbouw!O8</f>
        <v>0</v>
      </c>
      <c r="Q22" s="729">
        <f>+landbouw!P8</f>
        <v>0</v>
      </c>
      <c r="R22" s="730">
        <f>SUM(C22:Q22)</f>
        <v>11924.136092939405</v>
      </c>
      <c r="S22" s="67"/>
    </row>
    <row r="23" spans="1:19" s="475" customFormat="1" ht="17.25" thickTop="1" thickBot="1">
      <c r="A23" s="735" t="s">
        <v>116</v>
      </c>
      <c r="B23" s="865"/>
      <c r="C23" s="736">
        <f ca="1">C20+C15+C22</f>
        <v>125527.31772996071</v>
      </c>
      <c r="D23" s="736">
        <f t="shared" ref="D23:Q23" ca="1" si="2">D20+D15+D22</f>
        <v>22802.142857142859</v>
      </c>
      <c r="E23" s="736">
        <f t="shared" ca="1" si="2"/>
        <v>150351.25768995978</v>
      </c>
      <c r="F23" s="736">
        <f t="shared" si="2"/>
        <v>6083.1245846889406</v>
      </c>
      <c r="G23" s="736">
        <f t="shared" ca="1" si="2"/>
        <v>41338.540032323363</v>
      </c>
      <c r="H23" s="736">
        <f t="shared" si="2"/>
        <v>75388.73036193545</v>
      </c>
      <c r="I23" s="736">
        <f t="shared" si="2"/>
        <v>13738.982600780135</v>
      </c>
      <c r="J23" s="736">
        <f t="shared" si="2"/>
        <v>0</v>
      </c>
      <c r="K23" s="736">
        <f t="shared" si="2"/>
        <v>597.40977761360625</v>
      </c>
      <c r="L23" s="736">
        <f t="shared" si="2"/>
        <v>0</v>
      </c>
      <c r="M23" s="736">
        <f t="shared" ca="1" si="2"/>
        <v>0</v>
      </c>
      <c r="N23" s="736">
        <f t="shared" si="2"/>
        <v>4781.5451426595746</v>
      </c>
      <c r="O23" s="736">
        <f t="shared" ca="1" si="2"/>
        <v>28373.814230560776</v>
      </c>
      <c r="P23" s="736">
        <f t="shared" si="2"/>
        <v>175.09333333333333</v>
      </c>
      <c r="Q23" s="737">
        <f t="shared" si="2"/>
        <v>667.33333333333326</v>
      </c>
      <c r="R23" s="738">
        <f ca="1">R20+R15+R22</f>
        <v>469825.29167429183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5727.6444790551641</v>
      </c>
      <c r="D36" s="719">
        <f ca="1">tertiair!C20</f>
        <v>0</v>
      </c>
      <c r="E36" s="719">
        <f ca="1">tertiair!D20</f>
        <v>7036.7054520843149</v>
      </c>
      <c r="F36" s="719">
        <f>tertiair!E20</f>
        <v>55.866117427316418</v>
      </c>
      <c r="G36" s="719">
        <f ca="1">tertiair!F20</f>
        <v>937.74640276739194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13757.962451334188</v>
      </c>
    </row>
    <row r="37" spans="1:18">
      <c r="A37" s="886" t="s">
        <v>225</v>
      </c>
      <c r="B37" s="893"/>
      <c r="C37" s="719">
        <f ca="1">huishoudens!B12</f>
        <v>4217.1667650316258</v>
      </c>
      <c r="D37" s="719">
        <f ca="1">huishoudens!C12</f>
        <v>0</v>
      </c>
      <c r="E37" s="719">
        <f>huishoudens!D12</f>
        <v>13555.965328587898</v>
      </c>
      <c r="F37" s="719">
        <f>huishoudens!E12</f>
        <v>420.37824093238515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18193.510334551909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8524.1579521698968</v>
      </c>
      <c r="D39" s="719">
        <f ca="1">industrie!C22</f>
        <v>0</v>
      </c>
      <c r="E39" s="719">
        <f>industrie!D22</f>
        <v>8378.7383552750925</v>
      </c>
      <c r="F39" s="719">
        <f>industrie!E22</f>
        <v>848.41337052336962</v>
      </c>
      <c r="G39" s="719">
        <f>industrie!F22</f>
        <v>9178.3109227486293</v>
      </c>
      <c r="H39" s="719">
        <f>industrie!G22</f>
        <v>0</v>
      </c>
      <c r="I39" s="719">
        <f>industrie!H22</f>
        <v>0</v>
      </c>
      <c r="J39" s="719">
        <f>industrie!I22</f>
        <v>0</v>
      </c>
      <c r="K39" s="719">
        <f>industrie!J22</f>
        <v>137.67067324045314</v>
      </c>
      <c r="L39" s="719">
        <f>industrie!K22</f>
        <v>0</v>
      </c>
      <c r="M39" s="719">
        <f>industrie!L22</f>
        <v>0</v>
      </c>
      <c r="N39" s="719">
        <f>industrie!M22</f>
        <v>0</v>
      </c>
      <c r="O39" s="719">
        <f>industrie!N22</f>
        <v>0</v>
      </c>
      <c r="P39" s="719">
        <f>industrie!O22</f>
        <v>0</v>
      </c>
      <c r="Q39" s="829">
        <f>industrie!P22</f>
        <v>0</v>
      </c>
      <c r="R39" s="919">
        <f ca="1">SUM(C39:Q39)</f>
        <v>27067.291273957442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18468.969196256687</v>
      </c>
      <c r="D41" s="764">
        <f t="shared" ref="D41:R41" ca="1" si="4">SUM(D35:D40)</f>
        <v>0</v>
      </c>
      <c r="E41" s="764">
        <f t="shared" ca="1" si="4"/>
        <v>28971.409135947302</v>
      </c>
      <c r="F41" s="764">
        <f t="shared" si="4"/>
        <v>1324.6577288830713</v>
      </c>
      <c r="G41" s="764">
        <f t="shared" ca="1" si="4"/>
        <v>10116.057325516022</v>
      </c>
      <c r="H41" s="764">
        <f t="shared" si="4"/>
        <v>0</v>
      </c>
      <c r="I41" s="764">
        <f t="shared" si="4"/>
        <v>0</v>
      </c>
      <c r="J41" s="764">
        <f t="shared" si="4"/>
        <v>0</v>
      </c>
      <c r="K41" s="764">
        <f t="shared" si="4"/>
        <v>137.67067324045314</v>
      </c>
      <c r="L41" s="764">
        <f t="shared" si="4"/>
        <v>0</v>
      </c>
      <c r="M41" s="764">
        <f t="shared" ca="1" si="4"/>
        <v>0</v>
      </c>
      <c r="N41" s="764">
        <f t="shared" si="4"/>
        <v>0</v>
      </c>
      <c r="O41" s="764">
        <f t="shared" ca="1" si="4"/>
        <v>0</v>
      </c>
      <c r="P41" s="764">
        <f t="shared" si="4"/>
        <v>0</v>
      </c>
      <c r="Q41" s="765">
        <f t="shared" si="4"/>
        <v>0</v>
      </c>
      <c r="R41" s="766">
        <f t="shared" ca="1" si="4"/>
        <v>59018.764059843539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746.05827249523043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746.05827249523043</v>
      </c>
    </row>
    <row r="45" spans="1:18" ht="15" thickBot="1">
      <c r="A45" s="889" t="s">
        <v>307</v>
      </c>
      <c r="B45" s="899"/>
      <c r="C45" s="728">
        <f ca="1">transport!B18</f>
        <v>2.1507366871281257</v>
      </c>
      <c r="D45" s="728">
        <f>transport!C18</f>
        <v>0</v>
      </c>
      <c r="E45" s="728">
        <f>transport!D18</f>
        <v>7.2997789373074866</v>
      </c>
      <c r="F45" s="728">
        <f>transport!E18</f>
        <v>53.351970220366098</v>
      </c>
      <c r="G45" s="728">
        <f>transport!F18</f>
        <v>0</v>
      </c>
      <c r="H45" s="728">
        <f>transport!G18</f>
        <v>19382.732734141533</v>
      </c>
      <c r="I45" s="728">
        <f>transport!H18</f>
        <v>3421.0066675942535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22866.541887580588</v>
      </c>
    </row>
    <row r="46" spans="1:18" ht="15.75" thickBot="1">
      <c r="A46" s="887" t="s">
        <v>230</v>
      </c>
      <c r="B46" s="900"/>
      <c r="C46" s="764">
        <f t="shared" ref="C46:R46" ca="1" si="5">SUM(C43:C45)</f>
        <v>2.1507366871281257</v>
      </c>
      <c r="D46" s="764">
        <f t="shared" ca="1" si="5"/>
        <v>0</v>
      </c>
      <c r="E46" s="764">
        <f t="shared" si="5"/>
        <v>7.2997789373074866</v>
      </c>
      <c r="F46" s="764">
        <f t="shared" si="5"/>
        <v>53.351970220366098</v>
      </c>
      <c r="G46" s="764">
        <f t="shared" si="5"/>
        <v>0</v>
      </c>
      <c r="H46" s="764">
        <f t="shared" si="5"/>
        <v>20128.791006636762</v>
      </c>
      <c r="I46" s="764">
        <f t="shared" si="5"/>
        <v>3421.0066675942535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23612.600160075817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202.31975893908754</v>
      </c>
      <c r="D48" s="719">
        <f ca="1">+landbouw!C12</f>
        <v>0</v>
      </c>
      <c r="E48" s="719">
        <f>+landbouw!D12</f>
        <v>1392.2451384872647</v>
      </c>
      <c r="F48" s="719">
        <f>+landbouw!E12</f>
        <v>2.8595816209523397</v>
      </c>
      <c r="G48" s="719">
        <f>+landbouw!F12</f>
        <v>921.33286311431789</v>
      </c>
      <c r="H48" s="719">
        <f>+landbouw!G12</f>
        <v>0</v>
      </c>
      <c r="I48" s="719">
        <f>+landbouw!H12</f>
        <v>0</v>
      </c>
      <c r="J48" s="719">
        <f>+landbouw!I12</f>
        <v>0</v>
      </c>
      <c r="K48" s="719">
        <f>+landbouw!J12</f>
        <v>73.812388034763472</v>
      </c>
      <c r="L48" s="719">
        <f>+landbouw!K12</f>
        <v>0</v>
      </c>
      <c r="M48" s="719">
        <f>+landbouw!L12</f>
        <v>0</v>
      </c>
      <c r="N48" s="719">
        <f>+landbouw!M12</f>
        <v>0</v>
      </c>
      <c r="O48" s="719">
        <f>+landbouw!N12</f>
        <v>0</v>
      </c>
      <c r="P48" s="719">
        <f>+landbouw!O12</f>
        <v>0</v>
      </c>
      <c r="Q48" s="720">
        <f>+landbouw!P12</f>
        <v>0</v>
      </c>
      <c r="R48" s="762">
        <f ca="1">SUM(C48:Q48)</f>
        <v>2592.569730196386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18673.439691882901</v>
      </c>
      <c r="D53" s="774">
        <f t="shared" ref="D53:Q53" ca="1" si="6">D41+D46+D48</f>
        <v>0</v>
      </c>
      <c r="E53" s="774">
        <f t="shared" ca="1" si="6"/>
        <v>30370.954053371875</v>
      </c>
      <c r="F53" s="774">
        <f t="shared" si="6"/>
        <v>1380.8692807243899</v>
      </c>
      <c r="G53" s="774">
        <f t="shared" ca="1" si="6"/>
        <v>11037.390188630339</v>
      </c>
      <c r="H53" s="774">
        <f t="shared" si="6"/>
        <v>20128.791006636762</v>
      </c>
      <c r="I53" s="774">
        <f t="shared" si="6"/>
        <v>3421.0066675942535</v>
      </c>
      <c r="J53" s="774">
        <f t="shared" si="6"/>
        <v>0</v>
      </c>
      <c r="K53" s="774">
        <f t="shared" si="6"/>
        <v>211.48306127521661</v>
      </c>
      <c r="L53" s="774">
        <f t="shared" si="6"/>
        <v>0</v>
      </c>
      <c r="M53" s="774">
        <f t="shared" ca="1" si="6"/>
        <v>0</v>
      </c>
      <c r="N53" s="774">
        <f t="shared" si="6"/>
        <v>0</v>
      </c>
      <c r="O53" s="774">
        <f t="shared" ca="1" si="6"/>
        <v>0</v>
      </c>
      <c r="P53" s="774">
        <f>P41+P46+P48</f>
        <v>0</v>
      </c>
      <c r="Q53" s="775">
        <f t="shared" si="6"/>
        <v>0</v>
      </c>
      <c r="R53" s="776">
        <f ca="1">R41+R46+R48</f>
        <v>85223.933950115737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0.14875996738856428</v>
      </c>
      <c r="D55" s="837">
        <f t="shared" ca="1" si="7"/>
        <v>0</v>
      </c>
      <c r="E55" s="837">
        <f t="shared" ca="1" si="7"/>
        <v>0.20200000000000001</v>
      </c>
      <c r="F55" s="837">
        <f t="shared" si="7"/>
        <v>0.22700000000000006</v>
      </c>
      <c r="G55" s="837">
        <f t="shared" ca="1" si="7"/>
        <v>0.26700000000000002</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7727.6155042462133</v>
      </c>
      <c r="C66" s="796">
        <f>'lokale energieproductie'!B6</f>
        <v>7727.6155042462133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15961.5</v>
      </c>
      <c r="C67" s="795">
        <f>B67*IFERROR(SUM(J67:L67)/SUM(D67:M67),0)</f>
        <v>15961.5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18778.23529411765</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17343</v>
      </c>
      <c r="C68" s="795">
        <f>B68*IFERROR(SUM(J68:L68)/SUM(D68:M68),0)</f>
        <v>17343</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49551.428571428572</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41032.115504246212</v>
      </c>
      <c r="C69" s="804">
        <f>SUM(C64:C68)</f>
        <v>41032.115504246212</v>
      </c>
      <c r="D69" s="805">
        <f t="shared" ref="D69:M69" si="8">SUM(D67:D68)</f>
        <v>0</v>
      </c>
      <c r="E69" s="805">
        <f t="shared" si="8"/>
        <v>0</v>
      </c>
      <c r="F69" s="805">
        <f t="shared" si="8"/>
        <v>0</v>
      </c>
      <c r="G69" s="805">
        <f t="shared" si="8"/>
        <v>0</v>
      </c>
      <c r="H69" s="805">
        <f t="shared" si="8"/>
        <v>0</v>
      </c>
      <c r="I69" s="805">
        <f t="shared" si="8"/>
        <v>0</v>
      </c>
      <c r="J69" s="805">
        <f t="shared" si="8"/>
        <v>0</v>
      </c>
      <c r="K69" s="805">
        <f t="shared" si="8"/>
        <v>68329.66386554623</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22802.142857142859</v>
      </c>
      <c r="C78" s="818">
        <f>B78*IFERROR(SUM(I78:L78)/SUM(D78:M78),0)</f>
        <v>22802.142857142859</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26826.050420168071</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22802.142857142859</v>
      </c>
      <c r="C81" s="804">
        <f>SUM(C78:C80)</f>
        <v>22802.142857142859</v>
      </c>
      <c r="D81" s="804">
        <f t="shared" ref="D81:P81" si="9">SUM(D78:D80)</f>
        <v>0</v>
      </c>
      <c r="E81" s="804">
        <f t="shared" si="9"/>
        <v>0</v>
      </c>
      <c r="F81" s="804">
        <f t="shared" si="9"/>
        <v>0</v>
      </c>
      <c r="G81" s="804">
        <f t="shared" si="9"/>
        <v>0</v>
      </c>
      <c r="H81" s="804">
        <f t="shared" si="9"/>
        <v>0</v>
      </c>
      <c r="I81" s="804">
        <f t="shared" si="9"/>
        <v>0</v>
      </c>
      <c r="J81" s="804">
        <f t="shared" si="9"/>
        <v>0</v>
      </c>
      <c r="K81" s="804">
        <f t="shared" si="9"/>
        <v>26826.050420168071</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28348.801354710529</v>
      </c>
      <c r="C4" s="479">
        <f>huishoudens!C8</f>
        <v>0</v>
      </c>
      <c r="D4" s="479">
        <f>huishoudens!D8</f>
        <v>67108.73925043513</v>
      </c>
      <c r="E4" s="479">
        <f>huishoudens!E8</f>
        <v>1851.8865239312122</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14421.896393677969</v>
      </c>
      <c r="O4" s="479">
        <f>huishoudens!O8</f>
        <v>170.40333333333334</v>
      </c>
      <c r="P4" s="480">
        <f>huishoudens!P8</f>
        <v>591.06666666666661</v>
      </c>
      <c r="Q4" s="481">
        <f>SUM(B4:P4)</f>
        <v>112492.79352275483</v>
      </c>
    </row>
    <row r="5" spans="1:17">
      <c r="A5" s="478" t="s">
        <v>156</v>
      </c>
      <c r="B5" s="479">
        <f ca="1">tertiair!B16</f>
        <v>37868.448000000004</v>
      </c>
      <c r="C5" s="479">
        <f ca="1">tertiair!C16</f>
        <v>22802.142857142859</v>
      </c>
      <c r="D5" s="479">
        <f ca="1">tertiair!D16</f>
        <v>34835.175505367893</v>
      </c>
      <c r="E5" s="479">
        <f>tertiair!E16</f>
        <v>246.10624417320008</v>
      </c>
      <c r="F5" s="479">
        <f ca="1">tertiair!F16</f>
        <v>3512.1588118628911</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4.6900000000000004</v>
      </c>
      <c r="P5" s="480">
        <f>tertiair!P16</f>
        <v>76.266666666666666</v>
      </c>
      <c r="Q5" s="478">
        <f t="shared" ref="Q5:Q13" ca="1" si="0">SUM(B5:P5)</f>
        <v>99344.98808521351</v>
      </c>
    </row>
    <row r="6" spans="1:17">
      <c r="A6" s="478" t="s">
        <v>194</v>
      </c>
      <c r="B6" s="479">
        <f>'openbare verlichting'!B8</f>
        <v>634.14499999999998</v>
      </c>
      <c r="C6" s="479"/>
      <c r="D6" s="479"/>
      <c r="E6" s="479"/>
      <c r="F6" s="479"/>
      <c r="G6" s="479"/>
      <c r="H6" s="479"/>
      <c r="I6" s="479"/>
      <c r="J6" s="479"/>
      <c r="K6" s="479"/>
      <c r="L6" s="479"/>
      <c r="M6" s="479"/>
      <c r="N6" s="479"/>
      <c r="O6" s="479"/>
      <c r="P6" s="480"/>
      <c r="Q6" s="478">
        <f t="shared" si="0"/>
        <v>634.14499999999998</v>
      </c>
    </row>
    <row r="7" spans="1:17">
      <c r="A7" s="478" t="s">
        <v>112</v>
      </c>
      <c r="B7" s="479">
        <f>landbouw!B8</f>
        <v>1360.0417</v>
      </c>
      <c r="C7" s="479">
        <f>landbouw!C8</f>
        <v>0</v>
      </c>
      <c r="D7" s="479">
        <f>landbouw!D8</f>
        <v>6892.3026657785376</v>
      </c>
      <c r="E7" s="479">
        <f>landbouw!E8</f>
        <v>12.597275863226166</v>
      </c>
      <c r="F7" s="479">
        <f>landbouw!F8</f>
        <v>3450.6848805779696</v>
      </c>
      <c r="G7" s="479">
        <f>landbouw!G8</f>
        <v>0</v>
      </c>
      <c r="H7" s="479">
        <f>landbouw!H8</f>
        <v>0</v>
      </c>
      <c r="I7" s="479">
        <f>landbouw!I8</f>
        <v>0</v>
      </c>
      <c r="J7" s="479">
        <f>landbouw!J8</f>
        <v>208.50957071967082</v>
      </c>
      <c r="K7" s="479">
        <f>landbouw!K8</f>
        <v>0</v>
      </c>
      <c r="L7" s="479">
        <f>landbouw!L8</f>
        <v>0</v>
      </c>
      <c r="M7" s="479">
        <f>landbouw!M8</f>
        <v>0</v>
      </c>
      <c r="N7" s="479">
        <f>landbouw!N8</f>
        <v>0</v>
      </c>
      <c r="O7" s="479">
        <f>landbouw!O8</f>
        <v>0</v>
      </c>
      <c r="P7" s="480">
        <f>landbouw!P8</f>
        <v>0</v>
      </c>
      <c r="Q7" s="478">
        <f t="shared" si="0"/>
        <v>11924.136092939405</v>
      </c>
    </row>
    <row r="8" spans="1:17">
      <c r="A8" s="478" t="s">
        <v>650</v>
      </c>
      <c r="B8" s="479">
        <f>industrie!B18</f>
        <v>57301.423909999998</v>
      </c>
      <c r="C8" s="479">
        <f>industrie!C18</f>
        <v>0</v>
      </c>
      <c r="D8" s="479">
        <f>industrie!D18</f>
        <v>41478.902748886598</v>
      </c>
      <c r="E8" s="479">
        <f>industrie!E18</f>
        <v>3737.5038349047118</v>
      </c>
      <c r="F8" s="479">
        <f>industrie!F18</f>
        <v>34375.696339882503</v>
      </c>
      <c r="G8" s="479">
        <f>industrie!G18</f>
        <v>0</v>
      </c>
      <c r="H8" s="479">
        <f>industrie!H18</f>
        <v>0</v>
      </c>
      <c r="I8" s="479">
        <f>industrie!I18</f>
        <v>0</v>
      </c>
      <c r="J8" s="479">
        <f>industrie!J18</f>
        <v>388.90020689393543</v>
      </c>
      <c r="K8" s="479">
        <f>industrie!K18</f>
        <v>0</v>
      </c>
      <c r="L8" s="479">
        <f>industrie!L18</f>
        <v>0</v>
      </c>
      <c r="M8" s="479">
        <f>industrie!M18</f>
        <v>0</v>
      </c>
      <c r="N8" s="479">
        <f>industrie!N18</f>
        <v>13951.917836882807</v>
      </c>
      <c r="O8" s="479">
        <f>industrie!O18</f>
        <v>0</v>
      </c>
      <c r="P8" s="480">
        <f>industrie!P18</f>
        <v>0</v>
      </c>
      <c r="Q8" s="478">
        <f t="shared" si="0"/>
        <v>151234.34487745058</v>
      </c>
    </row>
    <row r="9" spans="1:17" s="484" customFormat="1">
      <c r="A9" s="482" t="s">
        <v>571</v>
      </c>
      <c r="B9" s="483">
        <f>transport!B14</f>
        <v>14.457765250178864</v>
      </c>
      <c r="C9" s="483">
        <f>transport!C14</f>
        <v>0</v>
      </c>
      <c r="D9" s="483">
        <f>transport!D14</f>
        <v>36.137519491621219</v>
      </c>
      <c r="E9" s="483">
        <f>transport!E14</f>
        <v>235.03070581659074</v>
      </c>
      <c r="F9" s="483">
        <f>transport!F14</f>
        <v>0</v>
      </c>
      <c r="G9" s="483">
        <f>transport!G14</f>
        <v>72594.504622252934</v>
      </c>
      <c r="H9" s="483">
        <f>transport!H14</f>
        <v>13738.982600780135</v>
      </c>
      <c r="I9" s="483">
        <f>transport!I14</f>
        <v>0</v>
      </c>
      <c r="J9" s="483">
        <f>transport!J14</f>
        <v>0</v>
      </c>
      <c r="K9" s="483">
        <f>transport!K14</f>
        <v>0</v>
      </c>
      <c r="L9" s="483">
        <f>transport!L14</f>
        <v>0</v>
      </c>
      <c r="M9" s="483">
        <f>transport!M14</f>
        <v>4622.1985943335358</v>
      </c>
      <c r="N9" s="483">
        <f>transport!N14</f>
        <v>0</v>
      </c>
      <c r="O9" s="483">
        <f>transport!O14</f>
        <v>0</v>
      </c>
      <c r="P9" s="483">
        <f>transport!P14</f>
        <v>0</v>
      </c>
      <c r="Q9" s="482">
        <f>SUM(B9:P9)</f>
        <v>91241.311807924983</v>
      </c>
    </row>
    <row r="10" spans="1:17">
      <c r="A10" s="478" t="s">
        <v>561</v>
      </c>
      <c r="B10" s="479">
        <f>transport!B54</f>
        <v>0</v>
      </c>
      <c r="C10" s="479">
        <f>transport!C54</f>
        <v>0</v>
      </c>
      <c r="D10" s="479">
        <f>transport!D54</f>
        <v>0</v>
      </c>
      <c r="E10" s="479">
        <f>transport!E54</f>
        <v>0</v>
      </c>
      <c r="F10" s="479">
        <f>transport!F54</f>
        <v>0</v>
      </c>
      <c r="G10" s="479">
        <f>transport!G54</f>
        <v>2794.2257396825107</v>
      </c>
      <c r="H10" s="479">
        <f>transport!H54</f>
        <v>0</v>
      </c>
      <c r="I10" s="479">
        <f>transport!I54</f>
        <v>0</v>
      </c>
      <c r="J10" s="479">
        <f>transport!J54</f>
        <v>0</v>
      </c>
      <c r="K10" s="479">
        <f>transport!K54</f>
        <v>0</v>
      </c>
      <c r="L10" s="479">
        <f>transport!L54</f>
        <v>0</v>
      </c>
      <c r="M10" s="479">
        <f>transport!M54</f>
        <v>159.34654832603871</v>
      </c>
      <c r="N10" s="479">
        <f>transport!N54</f>
        <v>0</v>
      </c>
      <c r="O10" s="479">
        <f>transport!O54</f>
        <v>0</v>
      </c>
      <c r="P10" s="480">
        <f>transport!P54</f>
        <v>0</v>
      </c>
      <c r="Q10" s="478">
        <f t="shared" si="0"/>
        <v>2953.5722880085495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125527.31772996072</v>
      </c>
      <c r="C14" s="489">
        <f t="shared" ref="C14:Q14" ca="1" si="1">SUM(C4:C13)</f>
        <v>22802.142857142859</v>
      </c>
      <c r="D14" s="489">
        <f t="shared" ca="1" si="1"/>
        <v>150351.25768995981</v>
      </c>
      <c r="E14" s="489">
        <f t="shared" si="1"/>
        <v>6083.1245846889415</v>
      </c>
      <c r="F14" s="489">
        <f t="shared" ca="1" si="1"/>
        <v>41338.540032323363</v>
      </c>
      <c r="G14" s="489">
        <f t="shared" si="1"/>
        <v>75388.73036193545</v>
      </c>
      <c r="H14" s="489">
        <f t="shared" si="1"/>
        <v>13738.982600780135</v>
      </c>
      <c r="I14" s="489">
        <f t="shared" si="1"/>
        <v>0</v>
      </c>
      <c r="J14" s="489">
        <f t="shared" si="1"/>
        <v>597.40977761360625</v>
      </c>
      <c r="K14" s="489">
        <f t="shared" si="1"/>
        <v>0</v>
      </c>
      <c r="L14" s="489">
        <f t="shared" ca="1" si="1"/>
        <v>0</v>
      </c>
      <c r="M14" s="489">
        <f t="shared" si="1"/>
        <v>4781.5451426595746</v>
      </c>
      <c r="N14" s="489">
        <f t="shared" ca="1" si="1"/>
        <v>28373.814230560776</v>
      </c>
      <c r="O14" s="489">
        <f t="shared" si="1"/>
        <v>175.09333333333333</v>
      </c>
      <c r="P14" s="490">
        <f t="shared" si="1"/>
        <v>667.33333333333326</v>
      </c>
      <c r="Q14" s="490">
        <f t="shared" ca="1" si="1"/>
        <v>469825.29167429183</v>
      </c>
    </row>
    <row r="16" spans="1:17">
      <c r="A16" s="492" t="s">
        <v>566</v>
      </c>
      <c r="B16" s="842">
        <f ca="1">huishoudens!B10</f>
        <v>0.14875996738856428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4217.1667650316258</v>
      </c>
      <c r="C21" s="479">
        <f t="shared" ref="C21:C30" ca="1" si="3">C4*$C$16</f>
        <v>0</v>
      </c>
      <c r="D21" s="479">
        <f t="shared" ref="D21:D30" si="4">D4*$D$16</f>
        <v>13555.965328587898</v>
      </c>
      <c r="E21" s="479">
        <f t="shared" ref="E21:E30" si="5">E4*$E$16</f>
        <v>420.37824093238515</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18193.510334551909</v>
      </c>
    </row>
    <row r="22" spans="1:17">
      <c r="A22" s="478" t="s">
        <v>156</v>
      </c>
      <c r="B22" s="479">
        <f t="shared" ca="1" si="2"/>
        <v>5633.3090895355426</v>
      </c>
      <c r="C22" s="479">
        <f t="shared" ca="1" si="3"/>
        <v>0</v>
      </c>
      <c r="D22" s="479">
        <f t="shared" ca="1" si="4"/>
        <v>7036.7054520843149</v>
      </c>
      <c r="E22" s="479">
        <f t="shared" si="5"/>
        <v>55.866117427316418</v>
      </c>
      <c r="F22" s="479">
        <f t="shared" ca="1" si="6"/>
        <v>937.74640276739194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13663.627061814566</v>
      </c>
    </row>
    <row r="23" spans="1:17">
      <c r="A23" s="478" t="s">
        <v>194</v>
      </c>
      <c r="B23" s="479">
        <f t="shared" ca="1" si="2"/>
        <v>94.335389519621103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94.335389519621103</v>
      </c>
    </row>
    <row r="24" spans="1:17">
      <c r="A24" s="478" t="s">
        <v>112</v>
      </c>
      <c r="B24" s="479">
        <f t="shared" ca="1" si="2"/>
        <v>202.31975893908754</v>
      </c>
      <c r="C24" s="479">
        <f t="shared" ca="1" si="3"/>
        <v>0</v>
      </c>
      <c r="D24" s="479">
        <f t="shared" si="4"/>
        <v>1392.2451384872647</v>
      </c>
      <c r="E24" s="479">
        <f t="shared" si="5"/>
        <v>2.8595816209523397</v>
      </c>
      <c r="F24" s="479">
        <f t="shared" si="6"/>
        <v>921.33286311431789</v>
      </c>
      <c r="G24" s="479">
        <f t="shared" si="7"/>
        <v>0</v>
      </c>
      <c r="H24" s="479">
        <f t="shared" si="8"/>
        <v>0</v>
      </c>
      <c r="I24" s="479">
        <f t="shared" si="9"/>
        <v>0</v>
      </c>
      <c r="J24" s="479">
        <f t="shared" si="10"/>
        <v>73.812388034763472</v>
      </c>
      <c r="K24" s="479">
        <f t="shared" si="11"/>
        <v>0</v>
      </c>
      <c r="L24" s="479">
        <f t="shared" si="12"/>
        <v>0</v>
      </c>
      <c r="M24" s="479">
        <f t="shared" si="13"/>
        <v>0</v>
      </c>
      <c r="N24" s="479">
        <f t="shared" si="14"/>
        <v>0</v>
      </c>
      <c r="O24" s="479">
        <f t="shared" si="15"/>
        <v>0</v>
      </c>
      <c r="P24" s="480">
        <f t="shared" si="16"/>
        <v>0</v>
      </c>
      <c r="Q24" s="478">
        <f t="shared" ca="1" si="17"/>
        <v>2592.569730196386</v>
      </c>
    </row>
    <row r="25" spans="1:17">
      <c r="A25" s="478" t="s">
        <v>650</v>
      </c>
      <c r="B25" s="479">
        <f t="shared" ca="1" si="2"/>
        <v>8524.1579521698968</v>
      </c>
      <c r="C25" s="479">
        <f t="shared" ca="1" si="3"/>
        <v>0</v>
      </c>
      <c r="D25" s="479">
        <f t="shared" si="4"/>
        <v>8378.7383552750925</v>
      </c>
      <c r="E25" s="479">
        <f t="shared" si="5"/>
        <v>848.41337052336962</v>
      </c>
      <c r="F25" s="479">
        <f t="shared" si="6"/>
        <v>9178.3109227486293</v>
      </c>
      <c r="G25" s="479">
        <f t="shared" si="7"/>
        <v>0</v>
      </c>
      <c r="H25" s="479">
        <f t="shared" si="8"/>
        <v>0</v>
      </c>
      <c r="I25" s="479">
        <f t="shared" si="9"/>
        <v>0</v>
      </c>
      <c r="J25" s="479">
        <f t="shared" si="10"/>
        <v>137.67067324045314</v>
      </c>
      <c r="K25" s="479">
        <f t="shared" si="11"/>
        <v>0</v>
      </c>
      <c r="L25" s="479">
        <f t="shared" si="12"/>
        <v>0</v>
      </c>
      <c r="M25" s="479">
        <f t="shared" si="13"/>
        <v>0</v>
      </c>
      <c r="N25" s="479">
        <f t="shared" si="14"/>
        <v>0</v>
      </c>
      <c r="O25" s="479">
        <f t="shared" si="15"/>
        <v>0</v>
      </c>
      <c r="P25" s="480">
        <f t="shared" si="16"/>
        <v>0</v>
      </c>
      <c r="Q25" s="478">
        <f t="shared" ca="1" si="17"/>
        <v>27067.291273957442</v>
      </c>
    </row>
    <row r="26" spans="1:17" s="484" customFormat="1">
      <c r="A26" s="482" t="s">
        <v>571</v>
      </c>
      <c r="B26" s="836">
        <f t="shared" ca="1" si="2"/>
        <v>2.1507366871281257</v>
      </c>
      <c r="C26" s="483">
        <f t="shared" ca="1" si="3"/>
        <v>0</v>
      </c>
      <c r="D26" s="483">
        <f t="shared" si="4"/>
        <v>7.2997789373074866</v>
      </c>
      <c r="E26" s="483">
        <f t="shared" si="5"/>
        <v>53.351970220366098</v>
      </c>
      <c r="F26" s="483">
        <f t="shared" si="6"/>
        <v>0</v>
      </c>
      <c r="G26" s="483">
        <f t="shared" si="7"/>
        <v>19382.732734141533</v>
      </c>
      <c r="H26" s="483">
        <f t="shared" si="8"/>
        <v>3421.0066675942535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22866.541887580588</v>
      </c>
    </row>
    <row r="27" spans="1:17">
      <c r="A27" s="478" t="s">
        <v>561</v>
      </c>
      <c r="B27" s="479">
        <f t="shared" ca="1" si="2"/>
        <v>0</v>
      </c>
      <c r="C27" s="479">
        <f t="shared" ca="1" si="3"/>
        <v>0</v>
      </c>
      <c r="D27" s="479">
        <f t="shared" si="4"/>
        <v>0</v>
      </c>
      <c r="E27" s="479">
        <f t="shared" si="5"/>
        <v>0</v>
      </c>
      <c r="F27" s="479">
        <f t="shared" si="6"/>
        <v>0</v>
      </c>
      <c r="G27" s="479">
        <f t="shared" si="7"/>
        <v>746.05827249523043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746.05827249523043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18673.439691882901</v>
      </c>
      <c r="C31" s="489">
        <f t="shared" ca="1" si="18"/>
        <v>0</v>
      </c>
      <c r="D31" s="489">
        <f t="shared" ca="1" si="18"/>
        <v>30370.954053371879</v>
      </c>
      <c r="E31" s="489">
        <f t="shared" si="18"/>
        <v>1380.8692807243897</v>
      </c>
      <c r="F31" s="489">
        <f t="shared" ca="1" si="18"/>
        <v>11037.390188630339</v>
      </c>
      <c r="G31" s="489">
        <f t="shared" si="18"/>
        <v>20128.791006636762</v>
      </c>
      <c r="H31" s="489">
        <f t="shared" si="18"/>
        <v>3421.0066675942535</v>
      </c>
      <c r="I31" s="489">
        <f t="shared" si="18"/>
        <v>0</v>
      </c>
      <c r="J31" s="489">
        <f t="shared" si="18"/>
        <v>211.48306127521661</v>
      </c>
      <c r="K31" s="489">
        <f t="shared" si="18"/>
        <v>0</v>
      </c>
      <c r="L31" s="489">
        <f t="shared" ca="1" si="18"/>
        <v>0</v>
      </c>
      <c r="M31" s="489">
        <f t="shared" si="18"/>
        <v>0</v>
      </c>
      <c r="N31" s="489">
        <f t="shared" ca="1" si="18"/>
        <v>0</v>
      </c>
      <c r="O31" s="489">
        <f t="shared" si="18"/>
        <v>0</v>
      </c>
      <c r="P31" s="490">
        <f t="shared" si="18"/>
        <v>0</v>
      </c>
      <c r="Q31" s="490">
        <f t="shared" ca="1" si="18"/>
        <v>85223.933950115737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0.14875996738856428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0.14875996738856428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0.14875996738856428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2018-06-27T09:34:39Z</dcterms:modified>
</cp:coreProperties>
</file>