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6" i="17"/>
  <c r="D8" s="1"/>
  <c r="J15" i="16"/>
  <c r="L16"/>
  <c r="L18" s="1"/>
  <c r="L8" i="48" s="1"/>
  <c r="F16" i="16"/>
  <c r="D13" i="15"/>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Q13" i="14"/>
  <c r="J15"/>
  <c r="P8" i="48"/>
  <c r="P25" s="1"/>
  <c r="N8" i="17"/>
  <c r="O22" i="14" s="1"/>
  <c r="B35" i="13"/>
  <c r="B47" s="1"/>
  <c r="O22" i="16"/>
  <c r="P39" i="14" s="1"/>
  <c r="O18" i="16"/>
  <c r="P13" i="14" s="1"/>
  <c r="B36" i="13"/>
  <c r="G31" i="20"/>
  <c r="H43" i="14" s="1"/>
  <c r="G12" i="22"/>
  <c r="D18" i="16"/>
  <c r="D22" s="1"/>
  <c r="E39" i="14" s="1"/>
  <c r="E8" i="17"/>
  <c r="F22"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J23" i="14"/>
  <c r="F5" i="15"/>
  <c r="F16" s="1"/>
  <c r="B5"/>
  <c r="B16" s="1"/>
  <c r="E13" i="14"/>
  <c r="B5" i="16"/>
  <c r="B18" s="1"/>
  <c r="C13" i="14" s="1"/>
  <c r="N5" i="15"/>
  <c r="F12" i="13"/>
  <c r="G37" i="14" s="1"/>
  <c r="P5" i="48"/>
  <c r="P22" s="1"/>
  <c r="P31" s="1"/>
  <c r="F13" i="16"/>
  <c r="E13"/>
  <c r="N13"/>
  <c r="J13"/>
  <c r="N12"/>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P41"/>
  <c r="P53" s="1"/>
  <c r="P55" s="1"/>
  <c r="Q15"/>
  <c r="Q23" s="1"/>
  <c r="Q55" s="1"/>
  <c r="G14" i="22"/>
  <c r="G9" i="48" s="1"/>
  <c r="D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E5" i="48"/>
  <c r="E22" s="1"/>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N14"/>
  <c r="R11" i="14"/>
  <c r="J21" i="48"/>
  <c r="F8" l="1"/>
  <c r="Q8" s="1"/>
  <c r="Q14" s="1"/>
  <c r="E14"/>
  <c r="K41" i="14"/>
  <c r="K53" s="1"/>
  <c r="K55" s="1"/>
  <c r="N31" i="48"/>
  <c r="K15" i="14"/>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<sst xmlns="http://schemas.openxmlformats.org/spreadsheetml/2006/main" count="1950" uniqueCount="834">
  <si>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</si>
  <si>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</si>
  <si>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</si>
  <si>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</si>
  <si>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</si>
  <si>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</si>
  <si>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</si>
  <si>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</si>
  <si>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</si>
  <si>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</si>
  <si>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</si>
  <si>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</si>
  <si>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</si>
  <si>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</si>
  <si>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</si>
  <si>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</si>
  <si>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</si>
  <si>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</si>
  <si>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</si>
  <si>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</si>
  <si>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</si>
  <si>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</si>
  <si>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</si>
  <si>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</si>
  <si>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</si>
  <si>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</si>
  <si>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</si>
  <si>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</si>
  <si>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</si>
  <si>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</si>
  <si>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</si>
  <si>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</si>
  <si>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</si>
  <si>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</si>
  <si>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</si>
  <si>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</si>
  <si>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</si>
  <si>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</si>
  <si>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</si>
  <si>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</si>
  <si>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</si>
  <si>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</si>
  <si>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</si>
  <si>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</si>
  <si>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</si>
  <si>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</si>
  <si>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</si>
  <si>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</si>
  <si>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</si>
  <si>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</si>
  <si>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</si>
  <si>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</si>
  <si>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</si>
  <si>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</si>
  <si>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</si>
  <si>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</si>
  <si>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</si>
  <si>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</si>
  <si>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</si>
  <si>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</si>
  <si>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</si>
  <si>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</si>
  <si>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</si>
  <si>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</si>
  <si>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</si>
  <si>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</si>
  <si>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</si>
  <si>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</si>
  <si>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</si>
  <si>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</si>
  <si>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</si>
  <si>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</si>
  <si>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</si>
  <si>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</si>
  <si>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</si>
  <si>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</si>
  <si>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</si>
  <si>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</si>
  <si>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</si>
  <si>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</si>
  <si>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</si>
  <si>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</si>
  <si>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</si>
  <si>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</si>
  <si>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</si>
  <si>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</si>
  <si>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</si>
  <si>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</si>
  <si>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</si>
  <si>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</si>
  <si>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</si>
  <si>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</si>
  <si>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</si>
  <si>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</si>
  <si>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</si>
  <si>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</si>
  <si>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</si>
  <si>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</si>
  <si>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</si>
  <si>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</si>
  <si>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</si>
  <si>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</si>
  <si>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</si>
  <si>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</si>
  <si>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</si>
  <si>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</si>
  <si>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</si>
  <si>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</si>
  <si>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</si>
  <si>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</si>
  <si>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</si>
  <si>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</si>
  <si>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</si>
  <si>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</si>
  <si>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</si>
  <si>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</si>
  <si>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</si>
  <si>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</si>
  <si>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</si>
  <si>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</si>
  <si>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</si>
  <si>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</si>
  <si>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</si>
  <si>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</si>
  <si>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</si>
  <si>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</si>
  <si>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</si>
  <si>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</si>
  <si>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</si>
  <si>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</si>
  <si>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</si>
  <si>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</si>
  <si>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</si>
  <si>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</si>
  <si>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</si>
  <si>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</si>
  <si>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</si>
  <si>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</si>
  <si>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</si>
  <si>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</si>
  <si>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</si>
  <si>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</si>
  <si>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</si>
  <si>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</si>
  <si>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</si>
  <si>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</si>
  <si>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</si>
  <si>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</si>
  <si>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</si>
  <si>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</si>
  <si>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</si>
  <si>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</si>
  <si>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</si>
  <si>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</si>
  <si>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</si>
  <si>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</si>
  <si>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</si>
  <si>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</si>
  <si>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</si>
  <si>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</si>
  <si>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</si>
  <si>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</si>
  <si>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</si>
  <si>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</si>
  <si>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</si>
  <si>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</si>
  <si>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</si>
  <si>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</si>
  <si>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</si>
  <si>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</si>
  <si>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</si>
  <si>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</si>
  <si>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</si>
  <si>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</si>
  <si>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</si>
  <si>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</si>
  <si>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</si>
  <si>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</si>
  <si>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</si>
  <si>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</si>
  <si>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</si>
  <si>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</si>
  <si>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</si>
  <si>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</si>
  <si>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</si>
  <si>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</si>
  <si>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</si>
  <si>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</si>
  <si>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</si>
  <si>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</si>
  <si>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</si>
  <si>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</si>
  <si>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</si>
  <si>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</si>
  <si>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</si>
  <si>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</si>
  <si>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</si>
  <si>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</si>
  <si>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</si>
  <si>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</si>
  <si>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</si>
  <si>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</si>
  <si>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</si>
  <si>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</si>
  <si>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</si>
  <si>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</si>
  <si>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</si>
  <si>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</si>
  <si>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</si>
  <si>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</si>
  <si>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</si>
  <si>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</si>
  <si>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</si>
  <si>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</si>
  <si>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</si>
  <si>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</si>
  <si>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</si>
  <si>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</si>
  <si>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</si>
  <si>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</si>
  <si>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</si>
  <si>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</si>
  <si>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</si>
  <si>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</si>
  <si>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</si>
  <si>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</si>
  <si>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</si>
  <si>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</si>
  <si>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</si>
  <si>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</si>
  <si>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</si>
  <si>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</si>
  <si>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</si>
  <si>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</si>
  <si>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</si>
  <si>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</si>
  <si>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</si>
  <si>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</si>
  <si>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</si>
  <si>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</si>
  <si>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</si>
  <si>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</si>
  <si>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</si>
  <si>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</si>
  <si>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</si>
  <si>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</si>
  <si>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</si>
  <si>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</si>
  <si>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</si>
  <si>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</si>
  <si>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</si>
  <si>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</si>
  <si>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</si>
  <si>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</si>
  <si>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</si>
  <si>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</si>
  <si>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</si>
  <si>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</si>
  <si>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</si>
  <si>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</si>
  <si>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</si>
  <si>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</si>
  <si>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</si>
  <si>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</si>
  <si>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</si>
  <si>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</si>
  <si>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</si>
  <si>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</si>
  <si>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</si>
  <si>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</si>
  <si>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</si>
  <si>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</si>
  <si>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</si>
  <si>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</si>
  <si>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</si>
  <si>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</si>
  <si>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</si>
  <si>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</si>
  <si>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</si>
  <si>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</si>
  <si>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</si>
  <si>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</si>
  <si>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</si>
  <si>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</si>
  <si>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</si>
  <si>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</si>
  <si>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</si>
  <si>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</si>
  <si>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</si>
  <si>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</si>
  <si>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</si>
  <si>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</si>
  <si>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</si>
  <si>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</si>
  <si>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</si>
  <si>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</si>
  <si>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</si>
  <si>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</si>
  <si>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</si>
  <si>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</si>
  <si>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</si>
  <si>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</si>
  <si>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</si>
  <si>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</si>
  <si>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</si>
  <si>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</si>
  <si>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</si>
  <si>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</si>
  <si>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</si>
  <si>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</si>
  <si>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</si>
  <si>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</si>
  <si>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</si>
  <si>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</si>
  <si>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</si>
  <si>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</si>
  <si>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</si>
  <si>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</si>
  <si>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</si>
  <si>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</si>
  <si>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</si>
  <si>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</si>
  <si>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</si>
  <si>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</si>
  <si>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</si>
  <si>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</si>
  <si>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</si>
  <si>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</si>
  <si>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</si>
  <si>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</si>
  <si>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</si>
  <si>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</si>
  <si>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</si>
  <si>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</si>
  <si>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</si>
  <si>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</si>
  <si>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</si>
  <si>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</si>
  <si>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</si>
  <si>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</si>
  <si>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</si>
  <si>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</si>
  <si>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</si>
  <si>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</si>
  <si>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</si>
  <si>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</si>
  <si>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</si>
  <si>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</si>
  <si>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</si>
  <si>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</si>
  <si>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</si>
  <si>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</si>
  <si>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</si>
  <si>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</si>
  <si>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</si>
  <si>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</si>
  <si>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</si>
  <si>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</si>
  <si>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</si>
  <si>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</si>
  <si>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</si>
  <si>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</si>
  <si>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</si>
  <si>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</si>
  <si>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</si>
  <si>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</si>
  <si>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</si>
  <si>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</si>
  <si>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</si>
  <si>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</si>
  <si>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</si>
  <si>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</si>
  <si>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</si>
  <si>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</si>
  <si>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</si>
  <si>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</si>
  <si>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</si>
  <si>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</si>
  <si>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</si>
  <si>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</si>
  <si>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</si>
  <si>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</si>
  <si>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</si>
  <si>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</si>
  <si>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</si>
  <si>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</si>
  <si>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</si>
  <si>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</si>
  <si>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</si>
  <si>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</si>
  <si>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</si>
  <si>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</si>
  <si>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</si>
  <si>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</si>
  <si>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</si>
  <si>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</si>
  <si>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</si>
  <si>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</si>
  <si>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</si>
  <si>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</si>
  <si>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</si>
  <si>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</si>
  <si>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</si>
  <si>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</si>
  <si>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</si>
  <si>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</si>
  <si>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</si>
  <si>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</si>
  <si>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</si>
  <si>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</si>
  <si>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</si>
  <si>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</si>
  <si>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</si>
  <si>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</si>
  <si>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</si>
  <si>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</si>
  <si>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</si>
  <si>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</si>
  <si>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</si>
  <si>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</si>
  <si>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</si>
  <si>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</si>
  <si>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</si>
  <si>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</si>
  <si>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</si>
  <si>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</si>
  <si>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</si>
  <si>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</si>
  <si>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</si>
  <si>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</si>
  <si>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</si>
  <si>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</si>
  <si>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</si>
  <si>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</si>
  <si>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</si>
  <si>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</si>
  <si>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</si>
  <si>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</si>
  <si>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</si>
  <si>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</si>
  <si>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</si>
  <si>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</si>
  <si>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</si>
  <si>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</si>
  <si>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</si>
  <si>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</si>
  <si>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</si>
  <si>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</si>
  <si>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</si>
  <si>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</si>
  <si>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</si>
  <si>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</si>
  <si>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</si>
  <si>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</si>
  <si>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</si>
  <si>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</si>
  <si>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</si>
  <si>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</si>
  <si>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</si>
  <si>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</si>
  <si>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</si>
  <si>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</si>
  <si>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</si>
  <si>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</si>
  <si>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</si>
  <si>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</si>
  <si>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</si>
  <si>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</si>
  <si>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</si>
  <si>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</si>
  <si>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</si>
  <si>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</si>
  <si>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</si>
  <si>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</si>
  <si>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</si>
  <si>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</si>
  <si>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</si>
  <si>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</si>
  <si>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</si>
  <si>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</si>
  <si>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</si>
  <si>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</si>
  <si>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</si>
  <si>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</si>
  <si>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</si>
  <si>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</si>
  <si>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</si>
  <si>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</si>
  <si>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</si>
  <si>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</si>
  <si>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</si>
  <si>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</si>
  <si>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</si>
  <si>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</si>
  <si>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</si>
  <si>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</si>
  <si>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</si>
  <si>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</si>
  <si>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</si>
  <si>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</si>
  <si>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</si>
  <si>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</si>
  <si>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</si>
  <si>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</si>
  <si>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</si>
  <si>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</si>
  <si>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</si>
  <si>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</si>
  <si>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</si>
  <si>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</si>
  <si>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</si>
  <si>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</si>
  <si>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</si>
  <si>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</si>
  <si>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</si>
  <si>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</si>
  <si>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</si>
  <si>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</si>
  <si>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</si>
  <si>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</si>
  <si>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</si>
  <si>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</si>
  <si>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</si>
  <si>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</si>
  <si>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</si>
  <si>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</si>
  <si>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</si>
  <si>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</si>
  <si>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</si>
  <si>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</si>
  <si>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</si>
  <si>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</si>
  <si>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</si>
  <si>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</si>
  <si>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</si>
  <si>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</si>
  <si>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</si>
  <si>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</si>
  <si>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</si>
  <si>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</si>
  <si>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</si>
  <si>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</si>
  <si>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</si>
  <si>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</si>
  <si>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</si>
  <si>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</si>
  <si>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</si>
  <si>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</si>
  <si>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</si>
  <si>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</si>
  <si>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</si>
  <si>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</si>
  <si>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</si>
  <si>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</si>
  <si>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</si>
  <si>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</si>
  <si>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</si>
  <si>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</si>
  <si>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</si>
  <si>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</si>
  <si>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</si>
  <si>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</si>
  <si>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</si>
  <si>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</si>
  <si>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</si>
  <si>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</si>
  <si>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</si>
  <si>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</si>
  <si>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</si>
  <si>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</si>
  <si>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</si>
  <si>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</si>
  <si>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</si>
  <si>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</si>
  <si>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</si>
  <si>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</si>
  <si>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</si>
  <si>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</si>
  <si>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</si>
  <si>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</si>
  <si>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</si>
  <si>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</si>
  <si>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</si>
  <si>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</si>
  <si>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</si>
  <si>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</si>
  <si>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</si>
  <si>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</si>
  <si>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</si>
  <si>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</si>
  <si>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</si>
  <si>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</si>
  <si>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</si>
  <si>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</si>
  <si>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</si>
  <si>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</si>
  <si>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</si>
  <si>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</si>
  <si>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</si>
  <si>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</si>
  <si>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</si>
  <si>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</si>
  <si>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</si>
  <si>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</si>
  <si>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</si>
  <si>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</si>
  <si>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</si>
  <si>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</si>
  <si>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</si>
  <si>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</si>
  <si>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</si>
  <si>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</si>
  <si>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</si>
  <si>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</si>
  <si>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</si>
  <si>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</si>
  <si>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</si>
  <si>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</si>
  <si>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</si>
  <si>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</si>
  <si>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</si>
  <si>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</si>
  <si>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</si>
  <si>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</si>
  <si>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</si>
  <si>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</si>
  <si>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</si>
  <si>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</si>
  <si>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</si>
  <si>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</si>
  <si>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</si>
  <si>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</si>
  <si>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</si>
  <si>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</si>
  <si>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</si>
  <si>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</si>
  <si>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</si>
  <si>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</si>
  <si>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</si>
  <si>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</si>
  <si>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</si>
  <si>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</si>
  <si>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</si>
  <si>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</si>
  <si>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</si>
  <si>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</si>
  <si>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</si>
  <si>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</si>
  <si>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</si>
  <si>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</si>
  <si>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</si>
  <si>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</si>
  <si>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</si>
  <si>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</si>
  <si>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</si>
  <si>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</si>
  <si>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</si>
  <si>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</si>
  <si>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</si>
  <si>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</si>
  <si>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</si>
  <si>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</si>
  <si>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</si>
  <si>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</si>
  <si>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</si>
  <si>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</si>
  <si>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</si>
  <si>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</si>
  <si>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</si>
  <si>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</si>
  <si>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</si>
  <si>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</si>
  <si>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</si>
  <si>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</si>
  <si>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</si>
  <si>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</si>
  <si>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</si>
  <si>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</si>
  <si>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</si>
  <si>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</si>
  <si>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</si>
  <si>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</si>
  <si>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</si>
  <si>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</si>
  <si>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</si>
  <si>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</si>
  <si>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</si>
  <si>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</si>
  <si>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</si>
  <si>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</si>
  <si>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</si>
  <si>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</si>
  <si>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</si>
  <si>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</si>
  <si>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</si>
  <si>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</si>
  <si>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</si>
  <si>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</si>
  <si>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</si>
  <si>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</si>
  <si>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</si>
  <si>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</si>
  <si>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</si>
  <si>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</si>
  <si>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</si>
  <si>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</si>
  <si>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</si>
  <si>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</si>
  <si>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</si>
  <si>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</si>
  <si>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</si>
  <si>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</si>
  <si>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</si>
  <si>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</si>
  <si>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</si>
  <si>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</si>
  <si>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</si>
  <si>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</si>
  <si>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</si>
  <si>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</si>
  <si>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</si>
  <si>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</si>
  <si>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</si>
  <si>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</si>
  <si>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</si>
  <si>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</si>
  <si>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</si>
  <si>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</si>
  <si>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</si>
  <si>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</si>
  <si>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</si>
  <si>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</si>
  <si>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</si>
  <si>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</si>
  <si>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</si>
  <si>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</si>
  <si>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</si>
  <si>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</si>
  <si>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</si>
  <si>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</si>
  <si>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</si>
  <si>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</si>
  <si>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</si>
  <si>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</si>
  <si>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</si>
  <si>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</si>
  <si>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</si>
  <si>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</si>
  <si>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</si>
  <si>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</si>
  <si>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</si>
  <si>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</si>
  <si>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</si>
  <si>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</si>
  <si>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</si>
  <si>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</si>
  <si>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</si>
  <si>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</si>
  <si>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</si>
  <si>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</si>
  <si>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</si>
  <si>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</si>
  <si>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</si>
  <si>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</si>
  <si>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</si>
  <si>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</si>
  <si>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</si>
  <si>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</si>
  <si>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</si>
  <si>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</si>
  <si>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</si>
  <si>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</si>
  <si>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</si>
  <si>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</si>
  <si>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</si>
  <si>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</si>
  <si>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</si>
  <si>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</si>
  <si>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</si>
  <si>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</si>
  <si>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</si>
  <si>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</si>
  <si>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</si>
  <si>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</si>
  <si>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</si>
  <si>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</si>
  <si>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</si>
  <si>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</si>
  <si>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</si>
  <si>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</si>
  <si>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</si>
  <si>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</si>
  <si>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</si>
  <si>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</si>
  <si>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</si>
  <si>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</si>
  <si>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</si>
  <si>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</si>
  <si>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</si>
  <si>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</si>
  <si>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</si>
  <si>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</si>
  <si>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</si>
  <si>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</si>
  <si>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</si>
  <si>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</si>
  <si>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</si>
  <si>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</si>
  <si>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</si>
  <si>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</si>
  <si>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</si>
  <si>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</si>
  <si>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</si>
  <si>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</si>
  <si>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</si>
  <si>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</si>
  <si>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</si>
  <si>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</si>
  <si>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</si>
  <si>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</si>
  <si>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</si>
  <si>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</si>
  <si>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</si>
  <si>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</si>
  <si>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</si>
  <si>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</si>
  <si>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11030</t>
  </si>
  <si>
    <t>NIEL</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</si>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</sst>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63079.059974971919</c:v>
                </c:pt>
                <c:pt idx="1">
                  <c:v>24017.276545628883</c:v>
                </c:pt>
                <c:pt idx="2">
                  <c:v>576.33900000000006</c:v>
                </c:pt>
                <c:pt idx="3">
                  <c:v>70.781882539657047</c:v>
                </c:pt>
                <c:pt idx="4">
                  <c:v>8960.882809006458</c:v>
                </c:pt>
                <c:pt idx="5">
                  <c:v>22501.880170108878</c:v>
                </c:pt>
                <c:pt idx="6">
                  <c:v>694.29354067889801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30112"/>
        <c:axId val="176731648"/>
      </c:barChart>
      <c:catAx>
        <c:axId val="176730112"/>
        <c:scaling>
          <c:orientation val="minMax"/>
        </c:scaling>
        <c:axPos val="b"/>
        <c:numFmt formatCode="General" sourceLinked="0"/>
        <c:tickLblPos val="nextTo"/>
        <c:crossAx val="176731648"/>
        <c:crosses val="autoZero"/>
        <c:auto val="1"/>
        <c:lblAlgn val="ctr"/>
        <c:lblOffset val="100"/>
      </c:catAx>
      <c:valAx>
        <c:axId val="176731648"/>
        <c:scaling>
          <c:orientation val="minMax"/>
        </c:scaling>
        <c:axPos val="l"/>
        <c:majorGridlines/>
        <c:numFmt formatCode="#,##0" sourceLinked="1"/>
        <c:tickLblPos val="nextTo"/>
        <c:crossAx val="1767301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63079.059974971919</c:v>
                </c:pt>
                <c:pt idx="1">
                  <c:v>24017.276545628883</c:v>
                </c:pt>
                <c:pt idx="2">
                  <c:v>576.33900000000006</c:v>
                </c:pt>
                <c:pt idx="3">
                  <c:v>70.781882539657047</c:v>
                </c:pt>
                <c:pt idx="4">
                  <c:v>8960.882809006458</c:v>
                </c:pt>
                <c:pt idx="5">
                  <c:v>22501.880170108878</c:v>
                </c:pt>
                <c:pt idx="6">
                  <c:v>694.29354067889801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12447.918209472002</c:v>
                </c:pt>
                <c:pt idx="1">
                  <c:v>4669.4920228424871</c:v>
                </c:pt>
                <c:pt idx="2">
                  <c:v>114.09657301968009</c:v>
                </c:pt>
                <c:pt idx="3">
                  <c:v>16.941232923247576</c:v>
                </c:pt>
                <c:pt idx="4">
                  <c:v>1756.4169867268513</c:v>
                </c:pt>
                <c:pt idx="5">
                  <c:v>5631.6510673600542</c:v>
                </c:pt>
                <c:pt idx="6">
                  <c:v>175.37523685013539</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34208"/>
        <c:axId val="177172864"/>
      </c:barChart>
      <c:catAx>
        <c:axId val="177134208"/>
        <c:scaling>
          <c:orientation val="minMax"/>
        </c:scaling>
        <c:axPos val="b"/>
        <c:numFmt formatCode="General" sourceLinked="0"/>
        <c:tickLblPos val="nextTo"/>
        <c:crossAx val="177172864"/>
        <c:crosses val="autoZero"/>
        <c:auto val="1"/>
        <c:lblAlgn val="ctr"/>
        <c:lblOffset val="100"/>
      </c:catAx>
      <c:valAx>
        <c:axId val="177172864"/>
        <c:scaling>
          <c:orientation val="minMax"/>
        </c:scaling>
        <c:axPos val="l"/>
        <c:majorGridlines/>
        <c:numFmt formatCode="#,##0" sourceLinked="1"/>
        <c:tickLblPos val="nextTo"/>
        <c:crossAx val="1771342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12447.918209472002</c:v>
                </c:pt>
                <c:pt idx="1">
                  <c:v>4669.4920228424871</c:v>
                </c:pt>
                <c:pt idx="2">
                  <c:v>114.09657301968009</c:v>
                </c:pt>
                <c:pt idx="3">
                  <c:v>16.941232923247576</c:v>
                </c:pt>
                <c:pt idx="4">
                  <c:v>1756.4169867268513</c:v>
                </c:pt>
                <c:pt idx="5">
                  <c:v>5631.6510673600542</c:v>
                </c:pt>
                <c:pt idx="6">
                  <c:v>175.37523685013539</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11030</v>
      </c>
      <c r="B6" s="416"/>
      <c r="C6" s="417"/>
    </row>
    <row r="7" spans="1:7" s="414" customFormat="1" ht="15.75" customHeight="1">
      <c r="A7" s="418" t="str">
        <f>txtMunicipality</f>
        <v>NIEL</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11486.761999999999</v>
      </c>
      <c r="D10" s="719">
        <f ca="1">tertiair!C16</f>
        <v>0</v>
      </c>
      <c r="E10" s="719">
        <f ca="1">tertiair!D16</f>
        <v>10217.986790000003</v>
      </c>
      <c r="F10" s="719">
        <f>tertiair!E16</f>
        <v>103.82127233222759</v>
      </c>
      <c r="G10" s="719">
        <f ca="1">tertiair!F16</f>
        <v>1580.4443862317219</v>
      </c>
      <c r="H10" s="719">
        <f>tertiair!G16</f>
        <v>0</v>
      </c>
      <c r="I10" s="719">
        <f>tertiair!H16</f>
        <v>0</v>
      </c>
      <c r="J10" s="719">
        <f>tertiair!I16</f>
        <v>0</v>
      </c>
      <c r="K10" s="719">
        <f>tertiair!J16</f>
        <v>0</v>
      </c>
      <c r="L10" s="719">
        <f>tertiair!K16</f>
        <v>0</v>
      </c>
      <c r="M10" s="719">
        <f ca="1">tertiair!L16</f>
        <v>0</v>
      </c>
      <c r="N10" s="719">
        <f>tertiair!M16</f>
        <v>0</v>
      </c>
      <c r="O10" s="719">
        <f ca="1">tertiair!N16</f>
        <v>1204.6010970649336</v>
      </c>
      <c r="P10" s="719">
        <f>tertiair!O16</f>
        <v>0</v>
      </c>
      <c r="Q10" s="720">
        <f>tertiair!P16</f>
        <v>0</v>
      </c>
      <c r="R10" s="722">
        <f ca="1">SUM(C10:Q10)</f>
        <v>24593.615545628883</v>
      </c>
      <c r="S10" s="67"/>
    </row>
    <row r="11" spans="1:19" s="475" customFormat="1">
      <c r="A11" s="871" t="s">
        <v>225</v>
      </c>
      <c r="B11" s="876"/>
      <c r="C11" s="719">
        <f>huishoudens!B8</f>
        <v>15243.627692336844</v>
      </c>
      <c r="D11" s="719">
        <f>huishoudens!C8</f>
        <v>0</v>
      </c>
      <c r="E11" s="719">
        <f>huishoudens!D8</f>
        <v>46519.686664000001</v>
      </c>
      <c r="F11" s="719">
        <f>huishoudens!E8</f>
        <v>146.22829712816204</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887.25732150691579</v>
      </c>
      <c r="P11" s="719">
        <f>huishoudens!O8</f>
        <v>34.393333333333338</v>
      </c>
      <c r="Q11" s="720">
        <f>huishoudens!P8</f>
        <v>247.86666666666667</v>
      </c>
      <c r="R11" s="722">
        <f>SUM(C11:Q11)</f>
        <v>63079.059974971919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3322.3989999999994</v>
      </c>
      <c r="D13" s="719">
        <f>industrie!C18</f>
        <v>0</v>
      </c>
      <c r="E13" s="719">
        <f>industrie!D18</f>
        <v>2706.069454</v>
      </c>
      <c r="F13" s="719">
        <f>industrie!E18</f>
        <v>387.26042165593111</v>
      </c>
      <c r="G13" s="719">
        <f>industrie!F18</f>
        <v>1721.0632215857036</v>
      </c>
      <c r="H13" s="719">
        <f>industrie!G18</f>
        <v>0</v>
      </c>
      <c r="I13" s="719">
        <f>industrie!H18</f>
        <v>0</v>
      </c>
      <c r="J13" s="719">
        <f>industrie!I18</f>
        <v>0</v>
      </c>
      <c r="K13" s="719">
        <f>industrie!J18</f>
        <v>13.081603741315117</v>
      </c>
      <c r="L13" s="719">
        <f>industrie!K18</f>
        <v>0</v>
      </c>
      <c r="M13" s="719">
        <f>industrie!L18</f>
        <v>0</v>
      </c>
      <c r="N13" s="719">
        <f>industrie!M18</f>
        <v>0</v>
      </c>
      <c r="O13" s="719">
        <f>industrie!N18</f>
        <v>811.00910802350893</v>
      </c>
      <c r="P13" s="719">
        <f>industrie!O18</f>
        <v>0</v>
      </c>
      <c r="Q13" s="720">
        <f>industrie!P18</f>
        <v>0</v>
      </c>
      <c r="R13" s="722">
        <f>SUM(C13:Q13)</f>
        <v>8960.882809006458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30052.788692336842</v>
      </c>
      <c r="D15" s="724">
        <f t="shared" ref="D15:Q15" ca="1" si="0">SUM(D9:D14)</f>
        <v>0</v>
      </c>
      <c r="E15" s="724">
        <f t="shared" ca="1" si="0"/>
        <v>59443.742908</v>
      </c>
      <c r="F15" s="724">
        <f t="shared" si="0"/>
        <v>637.30999111632082</v>
      </c>
      <c r="G15" s="724">
        <f t="shared" ca="1" si="0"/>
        <v>3301.5076078174252</v>
      </c>
      <c r="H15" s="724">
        <f t="shared" si="0"/>
        <v>0</v>
      </c>
      <c r="I15" s="724">
        <f t="shared" si="0"/>
        <v>0</v>
      </c>
      <c r="J15" s="724">
        <f t="shared" si="0"/>
        <v>0</v>
      </c>
      <c r="K15" s="724">
        <f t="shared" si="0"/>
        <v>13.081603741315117</v>
      </c>
      <c r="L15" s="724">
        <f t="shared" si="0"/>
        <v>0</v>
      </c>
      <c r="M15" s="724">
        <f t="shared" ca="1" si="0"/>
        <v>0</v>
      </c>
      <c r="N15" s="724">
        <f t="shared" si="0"/>
        <v>0</v>
      </c>
      <c r="O15" s="724">
        <f t="shared" ca="1" si="0"/>
        <v>2902.867526595358</v>
      </c>
      <c r="P15" s="724">
        <f t="shared" si="0"/>
        <v>34.393333333333338</v>
      </c>
      <c r="Q15" s="725">
        <f t="shared" si="0"/>
        <v>247.86666666666667</v>
      </c>
      <c r="R15" s="726">
        <f ca="1">SUM(R9:R14)</f>
        <v>96633.558329607273</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656.83609307166807</v>
      </c>
      <c r="I18" s="719">
        <f>transport!H54</f>
        <v>0</v>
      </c>
      <c r="J18" s="719">
        <f>transport!I54</f>
        <v>0</v>
      </c>
      <c r="K18" s="719">
        <f>transport!J54</f>
        <v>0</v>
      </c>
      <c r="L18" s="719">
        <f>transport!K54</f>
        <v>0</v>
      </c>
      <c r="M18" s="719">
        <f>transport!L54</f>
        <v>0</v>
      </c>
      <c r="N18" s="719">
        <f>transport!M54</f>
        <v>37.457447607229966</v>
      </c>
      <c r="O18" s="719">
        <f>transport!N54</f>
        <v>0</v>
      </c>
      <c r="P18" s="719">
        <f>transport!O54</f>
        <v>0</v>
      </c>
      <c r="Q18" s="720">
        <f>transport!P54</f>
        <v>0</v>
      </c>
      <c r="R18" s="722">
        <f>SUM(C18:Q18)</f>
        <v>694.29354067889801</v>
      </c>
      <c r="S18" s="67"/>
    </row>
    <row r="19" spans="1:19" s="475" customFormat="1" ht="15" thickBot="1">
      <c r="A19" s="871" t="s">
        <v>307</v>
      </c>
      <c r="B19" s="876"/>
      <c r="C19" s="728">
        <f>transport!B14</f>
        <v>4.3302686324682336</v>
      </c>
      <c r="D19" s="728">
        <f>transport!C14</f>
        <v>0</v>
      </c>
      <c r="E19" s="728">
        <f>transport!D14</f>
        <v>10.683942590050721</v>
      </c>
      <c r="F19" s="728">
        <f>transport!E14</f>
        <v>68.796243087817714</v>
      </c>
      <c r="G19" s="728">
        <f>transport!F14</f>
        <v>0</v>
      </c>
      <c r="H19" s="728">
        <f>transport!G14</f>
        <v>17240.522233833577</v>
      </c>
      <c r="I19" s="728">
        <f>transport!H14</f>
        <v>4055.4195723660528</v>
      </c>
      <c r="J19" s="728">
        <f>transport!I14</f>
        <v>0</v>
      </c>
      <c r="K19" s="728">
        <f>transport!J14</f>
        <v>0</v>
      </c>
      <c r="L19" s="728">
        <f>transport!K14</f>
        <v>0</v>
      </c>
      <c r="M19" s="728">
        <f>transport!L14</f>
        <v>0</v>
      </c>
      <c r="N19" s="728">
        <f>transport!M14</f>
        <v>1122.1279095989125</v>
      </c>
      <c r="O19" s="728">
        <f>transport!N14</f>
        <v>0</v>
      </c>
      <c r="P19" s="728">
        <f>transport!O14</f>
        <v>0</v>
      </c>
      <c r="Q19" s="729">
        <f>transport!P14</f>
        <v>0</v>
      </c>
      <c r="R19" s="730">
        <f>SUM(C19:Q19)</f>
        <v>22501.880170108878</v>
      </c>
      <c r="S19" s="67"/>
    </row>
    <row r="20" spans="1:19" s="475" customFormat="1" ht="15.75" thickBot="1">
      <c r="A20" s="731" t="s">
        <v>230</v>
      </c>
      <c r="B20" s="879"/>
      <c r="C20" s="874">
        <f>SUM(C17:C19)</f>
        <v>4.3302686324682336</v>
      </c>
      <c r="D20" s="732">
        <f t="shared" ref="D20:R20" si="1">SUM(D17:D19)</f>
        <v>0</v>
      </c>
      <c r="E20" s="732">
        <f t="shared" si="1"/>
        <v>10.683942590050721</v>
      </c>
      <c r="F20" s="732">
        <f t="shared" si="1"/>
        <v>68.796243087817714</v>
      </c>
      <c r="G20" s="732">
        <f t="shared" si="1"/>
        <v>0</v>
      </c>
      <c r="H20" s="732">
        <f t="shared" si="1"/>
        <v>17897.358326905247</v>
      </c>
      <c r="I20" s="732">
        <f t="shared" si="1"/>
        <v>4055.4195723660528</v>
      </c>
      <c r="J20" s="732">
        <f t="shared" si="1"/>
        <v>0</v>
      </c>
      <c r="K20" s="732">
        <f t="shared" si="1"/>
        <v>0</v>
      </c>
      <c r="L20" s="732">
        <f t="shared" si="1"/>
        <v>0</v>
      </c>
      <c r="M20" s="732">
        <f t="shared" si="1"/>
        <v>0</v>
      </c>
      <c r="N20" s="732">
        <f t="shared" si="1"/>
        <v>1159.5853572061426</v>
      </c>
      <c r="O20" s="732">
        <f t="shared" si="1"/>
        <v>0</v>
      </c>
      <c r="P20" s="732">
        <f t="shared" si="1"/>
        <v>0</v>
      </c>
      <c r="Q20" s="733">
        <f t="shared" si="1"/>
        <v>0</v>
      </c>
      <c r="R20" s="734">
        <f t="shared" si="1"/>
        <v>23196.173710787774</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14.333</v>
      </c>
      <c r="D22" s="728">
        <f>+landbouw!C8</f>
        <v>0</v>
      </c>
      <c r="E22" s="728">
        <f>+landbouw!D8</f>
        <v>17.753163999999998</v>
      </c>
      <c r="F22" s="728">
        <f>+landbouw!E8</f>
        <v>0.13275824921222681</v>
      </c>
      <c r="G22" s="728">
        <f>+landbouw!F8</f>
        <v>36.365551433697973</v>
      </c>
      <c r="H22" s="728">
        <f>+landbouw!G8</f>
        <v>0</v>
      </c>
      <c r="I22" s="728">
        <f>+landbouw!H8</f>
        <v>0</v>
      </c>
      <c r="J22" s="728">
        <f>+landbouw!I8</f>
        <v>0</v>
      </c>
      <c r="K22" s="728">
        <f>+landbouw!J8</f>
        <v>2.1974088567468488</v>
      </c>
      <c r="L22" s="728">
        <f>+landbouw!K8</f>
        <v>0</v>
      </c>
      <c r="M22" s="728">
        <f>+landbouw!L8</f>
        <v>0</v>
      </c>
      <c r="N22" s="728">
        <f>+landbouw!M8</f>
        <v>0</v>
      </c>
      <c r="O22" s="728">
        <f>+landbouw!N8</f>
        <v>0</v>
      </c>
      <c r="P22" s="728">
        <f>+landbouw!O8</f>
        <v>0</v>
      </c>
      <c r="Q22" s="729">
        <f>+landbouw!P8</f>
        <v>0</v>
      </c>
      <c r="R22" s="730">
        <f>SUM(C22:Q22)</f>
        <v>70.781882539657047</v>
      </c>
      <c r="S22" s="67"/>
    </row>
    <row r="23" spans="1:19" s="475" customFormat="1" ht="17.25" thickTop="1" thickBot="1">
      <c r="A23" s="735" t="s">
        <v>116</v>
      </c>
      <c r="B23" s="865"/>
      <c r="C23" s="736">
        <f ca="1">C20+C15+C22</f>
        <v>30071.451960969309</v>
      </c>
      <c r="D23" s="736">
        <f t="shared" ref="D23:Q23" ca="1" si="2">D20+D15+D22</f>
        <v>0</v>
      </c>
      <c r="E23" s="736">
        <f t="shared" ca="1" si="2"/>
        <v>59472.180014590056</v>
      </c>
      <c r="F23" s="736">
        <f t="shared" si="2"/>
        <v>706.23899245335076</v>
      </c>
      <c r="G23" s="736">
        <f t="shared" ca="1" si="2"/>
        <v>3337.8731592511231</v>
      </c>
      <c r="H23" s="736">
        <f t="shared" si="2"/>
        <v>17897.358326905247</v>
      </c>
      <c r="I23" s="736">
        <f t="shared" si="2"/>
        <v>4055.4195723660528</v>
      </c>
      <c r="J23" s="736">
        <f t="shared" si="2"/>
        <v>0</v>
      </c>
      <c r="K23" s="736">
        <f t="shared" si="2"/>
        <v>15.279012598061966</v>
      </c>
      <c r="L23" s="736">
        <f t="shared" si="2"/>
        <v>0</v>
      </c>
      <c r="M23" s="736">
        <f t="shared" ca="1" si="2"/>
        <v>0</v>
      </c>
      <c r="N23" s="736">
        <f t="shared" si="2"/>
        <v>1159.5853572061426</v>
      </c>
      <c r="O23" s="736">
        <f t="shared" ca="1" si="2"/>
        <v>2902.867526595358</v>
      </c>
      <c r="P23" s="736">
        <f t="shared" si="2"/>
        <v>34.393333333333338</v>
      </c>
      <c r="Q23" s="737">
        <f t="shared" si="2"/>
        <v>247.86666666666667</v>
      </c>
      <c r="R23" s="738">
        <f ca="1">R20+R15+R22</f>
        <v>119900.5139229347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2274.0091843388809</v>
      </c>
      <c r="D36" s="719">
        <f ca="1">tertiair!C20</f>
        <v>0</v>
      </c>
      <c r="E36" s="719">
        <f ca="1">tertiair!D20</f>
        <v>2064.0333315800008</v>
      </c>
      <c r="F36" s="719">
        <f>tertiair!E20</f>
        <v>23.567428819415664</v>
      </c>
      <c r="G36" s="719">
        <f ca="1">tertiair!F20</f>
        <v>421.97865112386978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4783.5885958621675</v>
      </c>
    </row>
    <row r="37" spans="1:18">
      <c r="A37" s="886" t="s">
        <v>225</v>
      </c>
      <c r="B37" s="893"/>
      <c r="C37" s="719">
        <f ca="1">huishoudens!B12</f>
        <v>3017.7476798959087</v>
      </c>
      <c r="D37" s="719">
        <f ca="1">huishoudens!C12</f>
        <v>0</v>
      </c>
      <c r="E37" s="719">
        <f>huishoudens!D12</f>
        <v>9396.9767061279999</v>
      </c>
      <c r="F37" s="719">
        <f>huishoudens!E12</f>
        <v>33.193823448092786</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12447.918209472002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657.72807341514635</v>
      </c>
      <c r="D39" s="719">
        <f ca="1">industrie!C22</f>
        <v>0</v>
      </c>
      <c r="E39" s="719">
        <f>industrie!D22</f>
        <v>546.62602970800003</v>
      </c>
      <c r="F39" s="719">
        <f>industrie!E22</f>
        <v>87.908115715896372</v>
      </c>
      <c r="G39" s="719">
        <f>industrie!F22</f>
        <v>459.5238801633829</v>
      </c>
      <c r="H39" s="719">
        <f>industrie!G22</f>
        <v>0</v>
      </c>
      <c r="I39" s="719">
        <f>industrie!H22</f>
        <v>0</v>
      </c>
      <c r="J39" s="719">
        <f>industrie!I22</f>
        <v>0</v>
      </c>
      <c r="K39" s="719">
        <f>industrie!J22</f>
        <v>4.6308877244255511</v>
      </c>
      <c r="L39" s="719">
        <f>industrie!K22</f>
        <v>0</v>
      </c>
      <c r="M39" s="719">
        <f>industrie!L22</f>
        <v>0</v>
      </c>
      <c r="N39" s="719">
        <f>industrie!M22</f>
        <v>0</v>
      </c>
      <c r="O39" s="719">
        <f>industrie!N22</f>
        <v>0</v>
      </c>
      <c r="P39" s="719">
        <f>industrie!O22</f>
        <v>0</v>
      </c>
      <c r="Q39" s="829">
        <f>industrie!P22</f>
        <v>0</v>
      </c>
      <c r="R39" s="919">
        <f ca="1">SUM(C39:Q39)</f>
        <v>1756.4169867268513</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5949.484937649936</v>
      </c>
      <c r="D41" s="764">
        <f t="shared" ref="D41:R41" ca="1" si="4">SUM(D35:D40)</f>
        <v>0</v>
      </c>
      <c r="E41" s="764">
        <f t="shared" ca="1" si="4"/>
        <v>12007.636067416002</v>
      </c>
      <c r="F41" s="764">
        <f t="shared" si="4"/>
        <v>144.66936798340481</v>
      </c>
      <c r="G41" s="764">
        <f t="shared" ca="1" si="4"/>
        <v>881.50253128725262</v>
      </c>
      <c r="H41" s="764">
        <f t="shared" si="4"/>
        <v>0</v>
      </c>
      <c r="I41" s="764">
        <f t="shared" si="4"/>
        <v>0</v>
      </c>
      <c r="J41" s="764">
        <f t="shared" si="4"/>
        <v>0</v>
      </c>
      <c r="K41" s="764">
        <f t="shared" si="4"/>
        <v>4.6308877244255511</v>
      </c>
      <c r="L41" s="764">
        <f t="shared" si="4"/>
        <v>0</v>
      </c>
      <c r="M41" s="764">
        <f t="shared" ca="1" si="4"/>
        <v>0</v>
      </c>
      <c r="N41" s="764">
        <f t="shared" si="4"/>
        <v>0</v>
      </c>
      <c r="O41" s="764">
        <f t="shared" ca="1" si="4"/>
        <v>0</v>
      </c>
      <c r="P41" s="764">
        <f t="shared" si="4"/>
        <v>0</v>
      </c>
      <c r="Q41" s="765">
        <f t="shared" si="4"/>
        <v>0</v>
      </c>
      <c r="R41" s="766">
        <f t="shared" ca="1" si="4"/>
        <v>18987.923792061018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175.37523685013539</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175.37523685013539</v>
      </c>
    </row>
    <row r="45" spans="1:18" ht="15" thickBot="1">
      <c r="A45" s="889" t="s">
        <v>307</v>
      </c>
      <c r="B45" s="899"/>
      <c r="C45" s="728">
        <f ca="1">transport!B18</f>
        <v>0.85725382321731136</v>
      </c>
      <c r="D45" s="728">
        <f>transport!C18</f>
        <v>0</v>
      </c>
      <c r="E45" s="728">
        <f>transport!D18</f>
        <v>2.158156403190246</v>
      </c>
      <c r="F45" s="728">
        <f>transport!E18</f>
        <v>15.616747180934622</v>
      </c>
      <c r="G45" s="728">
        <f>transport!F18</f>
        <v>0</v>
      </c>
      <c r="H45" s="728">
        <f>transport!G18</f>
        <v>4603.2194364335655</v>
      </c>
      <c r="I45" s="728">
        <f>transport!H18</f>
        <v>1009.7994735191471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5631.6510673600542</v>
      </c>
    </row>
    <row r="46" spans="1:18" ht="15.75" thickBot="1">
      <c r="A46" s="887" t="s">
        <v>230</v>
      </c>
      <c r="B46" s="900"/>
      <c r="C46" s="764">
        <f t="shared" ref="C46:R46" ca="1" si="5">SUM(C43:C45)</f>
        <v>0.85725382321731136</v>
      </c>
      <c r="D46" s="764">
        <f t="shared" ca="1" si="5"/>
        <v>0</v>
      </c>
      <c r="E46" s="764">
        <f t="shared" si="5"/>
        <v>2.158156403190246</v>
      </c>
      <c r="F46" s="764">
        <f t="shared" si="5"/>
        <v>15.616747180934622</v>
      </c>
      <c r="G46" s="764">
        <f t="shared" si="5"/>
        <v>0</v>
      </c>
      <c r="H46" s="764">
        <f t="shared" si="5"/>
        <v>4778.594673283701</v>
      </c>
      <c r="I46" s="764">
        <f t="shared" si="5"/>
        <v>1009.7994735191471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5807.0263042101897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2.8374727045906569</v>
      </c>
      <c r="D48" s="719">
        <f ca="1">+landbouw!C12</f>
        <v>0</v>
      </c>
      <c r="E48" s="719">
        <f>+landbouw!D12</f>
        <v>3.5861391279999997</v>
      </c>
      <c r="F48" s="719">
        <f>+landbouw!E12</f>
        <v>3.0136122571175487E-2</v>
      </c>
      <c r="G48" s="719">
        <f>+landbouw!F12</f>
        <v>9.7096022327973603</v>
      </c>
      <c r="H48" s="719">
        <f>+landbouw!G12</f>
        <v>0</v>
      </c>
      <c r="I48" s="719">
        <f>+landbouw!H12</f>
        <v>0</v>
      </c>
      <c r="J48" s="719">
        <f>+landbouw!I12</f>
        <v>0</v>
      </c>
      <c r="K48" s="719">
        <f>+landbouw!J12</f>
        <v>0.77788273528838447</v>
      </c>
      <c r="L48" s="719">
        <f>+landbouw!K12</f>
        <v>0</v>
      </c>
      <c r="M48" s="719">
        <f>+landbouw!L12</f>
        <v>0</v>
      </c>
      <c r="N48" s="719">
        <f>+landbouw!M12</f>
        <v>0</v>
      </c>
      <c r="O48" s="719">
        <f>+landbouw!N12</f>
        <v>0</v>
      </c>
      <c r="P48" s="719">
        <f>+landbouw!O12</f>
        <v>0</v>
      </c>
      <c r="Q48" s="720">
        <f>+landbouw!P12</f>
        <v>0</v>
      </c>
      <c r="R48" s="762">
        <f ca="1">SUM(C48:Q48)</f>
        <v>16.941232923247576</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5953.1796641777437</v>
      </c>
      <c r="D53" s="774">
        <f t="shared" ref="D53:Q53" ca="1" si="6">D41+D46+D48</f>
        <v>0</v>
      </c>
      <c r="E53" s="774">
        <f t="shared" ca="1" si="6"/>
        <v>12013.380362947191</v>
      </c>
      <c r="F53" s="774">
        <f t="shared" si="6"/>
        <v>160.31625128691061</v>
      </c>
      <c r="G53" s="774">
        <f t="shared" ca="1" si="6"/>
        <v>891.21213352004997</v>
      </c>
      <c r="H53" s="774">
        <f t="shared" si="6"/>
        <v>4778.594673283701</v>
      </c>
      <c r="I53" s="774">
        <f t="shared" si="6"/>
        <v>1009.7994735191471</v>
      </c>
      <c r="J53" s="774">
        <f t="shared" si="6"/>
        <v>0</v>
      </c>
      <c r="K53" s="774">
        <f t="shared" si="6"/>
        <v>5.4087704597139359</v>
      </c>
      <c r="L53" s="774">
        <f t="shared" si="6"/>
        <v>0</v>
      </c>
      <c r="M53" s="774">
        <f t="shared" ca="1" si="6"/>
        <v>0</v>
      </c>
      <c r="N53" s="774">
        <f t="shared" si="6"/>
        <v>0</v>
      </c>
      <c r="O53" s="774">
        <f t="shared" ca="1" si="6"/>
        <v>0</v>
      </c>
      <c r="P53" s="774">
        <f>P41+P46+P48</f>
        <v>0</v>
      </c>
      <c r="Q53" s="775">
        <f t="shared" si="6"/>
        <v>0</v>
      </c>
      <c r="R53" s="776">
        <f ca="1">R41+R46+R48</f>
        <v>24811.891329194455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0.19796781585087958</v>
      </c>
      <c r="D55" s="837">
        <f t="shared" ca="1" si="7"/>
        <v>0</v>
      </c>
      <c r="E55" s="837">
        <f t="shared" ca="1" si="7"/>
        <v>0.20200000000000001</v>
      </c>
      <c r="F55" s="837">
        <f t="shared" si="7"/>
        <v>0.22699999999999998</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3133.9874171786132</v>
      </c>
      <c r="C66" s="796">
        <f>'lokale energieproductie'!B6</f>
        <v>3133.9874171786132</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3133.9874171786132</v>
      </c>
      <c r="C69" s="804">
        <f>SUM(C64:C68)</f>
        <v>3133.9874171786132</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15243.627692336844</v>
      </c>
      <c r="C4" s="479">
        <f>huishoudens!C8</f>
        <v>0</v>
      </c>
      <c r="D4" s="479">
        <f>huishoudens!D8</f>
        <v>46519.686664000001</v>
      </c>
      <c r="E4" s="479">
        <f>huishoudens!E8</f>
        <v>146.22829712816204</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887.25732150691579</v>
      </c>
      <c r="O4" s="479">
        <f>huishoudens!O8</f>
        <v>34.393333333333338</v>
      </c>
      <c r="P4" s="480">
        <f>huishoudens!P8</f>
        <v>247.86666666666667</v>
      </c>
      <c r="Q4" s="481">
        <f>SUM(B4:P4)</f>
        <v>63079.059974971919</v>
      </c>
    </row>
    <row r="5" spans="1:17">
      <c r="A5" s="478" t="s">
        <v>156</v>
      </c>
      <c r="B5" s="479">
        <f ca="1">tertiair!B16</f>
        <v>10910.422999999999</v>
      </c>
      <c r="C5" s="479">
        <f ca="1">tertiair!C16</f>
        <v>0</v>
      </c>
      <c r="D5" s="479">
        <f ca="1">tertiair!D16</f>
        <v>10217.986790000003</v>
      </c>
      <c r="E5" s="479">
        <f>tertiair!E16</f>
        <v>103.82127233222759</v>
      </c>
      <c r="F5" s="479">
        <f ca="1">tertiair!F16</f>
        <v>1580.4443862317219</v>
      </c>
      <c r="G5" s="479">
        <f>tertiair!G16</f>
        <v>0</v>
      </c>
      <c r="H5" s="479">
        <f>tertiair!H16</f>
        <v>0</v>
      </c>
      <c r="I5" s="479">
        <f>tertiair!I16</f>
        <v>0</v>
      </c>
      <c r="J5" s="479">
        <f>tertiair!J16</f>
        <v>0</v>
      </c>
      <c r="K5" s="479">
        <f>tertiair!K16</f>
        <v>0</v>
      </c>
      <c r="L5" s="479">
        <f ca="1">tertiair!L16</f>
        <v>0</v>
      </c>
      <c r="M5" s="479">
        <f>tertiair!M16</f>
        <v>0</v>
      </c>
      <c r="N5" s="479">
        <f ca="1">tertiair!N16</f>
        <v>1204.6010970649336</v>
      </c>
      <c r="O5" s="479">
        <f>tertiair!O16</f>
        <v>0</v>
      </c>
      <c r="P5" s="480">
        <f>tertiair!P16</f>
        <v>0</v>
      </c>
      <c r="Q5" s="478">
        <f t="shared" ref="Q5:Q13" ca="1" si="0">SUM(B5:P5)</f>
        <v>24017.276545628883</v>
      </c>
    </row>
    <row r="6" spans="1:17">
      <c r="A6" s="478" t="s">
        <v>194</v>
      </c>
      <c r="B6" s="479">
        <f>'openbare verlichting'!B8</f>
        <v>576.33900000000006</v>
      </c>
      <c r="C6" s="479"/>
      <c r="D6" s="479"/>
      <c r="E6" s="479"/>
      <c r="F6" s="479"/>
      <c r="G6" s="479"/>
      <c r="H6" s="479"/>
      <c r="I6" s="479"/>
      <c r="J6" s="479"/>
      <c r="K6" s="479"/>
      <c r="L6" s="479"/>
      <c r="M6" s="479"/>
      <c r="N6" s="479"/>
      <c r="O6" s="479"/>
      <c r="P6" s="480"/>
      <c r="Q6" s="478">
        <f t="shared" si="0"/>
        <v>576.33900000000006</v>
      </c>
    </row>
    <row r="7" spans="1:17">
      <c r="A7" s="478" t="s">
        <v>112</v>
      </c>
      <c r="B7" s="479">
        <f>landbouw!B8</f>
        <v>14.333</v>
      </c>
      <c r="C7" s="479">
        <f>landbouw!C8</f>
        <v>0</v>
      </c>
      <c r="D7" s="479">
        <f>landbouw!D8</f>
        <v>17.753163999999998</v>
      </c>
      <c r="E7" s="479">
        <f>landbouw!E8</f>
        <v>0.13275824921222681</v>
      </c>
      <c r="F7" s="479">
        <f>landbouw!F8</f>
        <v>36.365551433697973</v>
      </c>
      <c r="G7" s="479">
        <f>landbouw!G8</f>
        <v>0</v>
      </c>
      <c r="H7" s="479">
        <f>landbouw!H8</f>
        <v>0</v>
      </c>
      <c r="I7" s="479">
        <f>landbouw!I8</f>
        <v>0</v>
      </c>
      <c r="J7" s="479">
        <f>landbouw!J8</f>
        <v>2.1974088567468488</v>
      </c>
      <c r="K7" s="479">
        <f>landbouw!K8</f>
        <v>0</v>
      </c>
      <c r="L7" s="479">
        <f>landbouw!L8</f>
        <v>0</v>
      </c>
      <c r="M7" s="479">
        <f>landbouw!M8</f>
        <v>0</v>
      </c>
      <c r="N7" s="479">
        <f>landbouw!N8</f>
        <v>0</v>
      </c>
      <c r="O7" s="479">
        <f>landbouw!O8</f>
        <v>0</v>
      </c>
      <c r="P7" s="480">
        <f>landbouw!P8</f>
        <v>0</v>
      </c>
      <c r="Q7" s="478">
        <f t="shared" si="0"/>
        <v>70.781882539657047</v>
      </c>
    </row>
    <row r="8" spans="1:17">
      <c r="A8" s="478" t="s">
        <v>650</v>
      </c>
      <c r="B8" s="479">
        <f>industrie!B18</f>
        <v>3322.3989999999994</v>
      </c>
      <c r="C8" s="479">
        <f>industrie!C18</f>
        <v>0</v>
      </c>
      <c r="D8" s="479">
        <f>industrie!D18</f>
        <v>2706.069454</v>
      </c>
      <c r="E8" s="479">
        <f>industrie!E18</f>
        <v>387.26042165593111</v>
      </c>
      <c r="F8" s="479">
        <f>industrie!F18</f>
        <v>1721.0632215857036</v>
      </c>
      <c r="G8" s="479">
        <f>industrie!G18</f>
        <v>0</v>
      </c>
      <c r="H8" s="479">
        <f>industrie!H18</f>
        <v>0</v>
      </c>
      <c r="I8" s="479">
        <f>industrie!I18</f>
        <v>0</v>
      </c>
      <c r="J8" s="479">
        <f>industrie!J18</f>
        <v>13.081603741315117</v>
      </c>
      <c r="K8" s="479">
        <f>industrie!K18</f>
        <v>0</v>
      </c>
      <c r="L8" s="479">
        <f>industrie!L18</f>
        <v>0</v>
      </c>
      <c r="M8" s="479">
        <f>industrie!M18</f>
        <v>0</v>
      </c>
      <c r="N8" s="479">
        <f>industrie!N18</f>
        <v>811.00910802350893</v>
      </c>
      <c r="O8" s="479">
        <f>industrie!O18</f>
        <v>0</v>
      </c>
      <c r="P8" s="480">
        <f>industrie!P18</f>
        <v>0</v>
      </c>
      <c r="Q8" s="478">
        <f t="shared" si="0"/>
        <v>8960.882809006458</v>
      </c>
    </row>
    <row r="9" spans="1:17" s="484" customFormat="1">
      <c r="A9" s="482" t="s">
        <v>571</v>
      </c>
      <c r="B9" s="483">
        <f>transport!B14</f>
        <v>4.3302686324682336</v>
      </c>
      <c r="C9" s="483">
        <f>transport!C14</f>
        <v>0</v>
      </c>
      <c r="D9" s="483">
        <f>transport!D14</f>
        <v>10.683942590050721</v>
      </c>
      <c r="E9" s="483">
        <f>transport!E14</f>
        <v>68.796243087817714</v>
      </c>
      <c r="F9" s="483">
        <f>transport!F14</f>
        <v>0</v>
      </c>
      <c r="G9" s="483">
        <f>transport!G14</f>
        <v>17240.522233833577</v>
      </c>
      <c r="H9" s="483">
        <f>transport!H14</f>
        <v>4055.4195723660528</v>
      </c>
      <c r="I9" s="483">
        <f>transport!I14</f>
        <v>0</v>
      </c>
      <c r="J9" s="483">
        <f>transport!J14</f>
        <v>0</v>
      </c>
      <c r="K9" s="483">
        <f>transport!K14</f>
        <v>0</v>
      </c>
      <c r="L9" s="483">
        <f>transport!L14</f>
        <v>0</v>
      </c>
      <c r="M9" s="483">
        <f>transport!M14</f>
        <v>1122.1279095989125</v>
      </c>
      <c r="N9" s="483">
        <f>transport!N14</f>
        <v>0</v>
      </c>
      <c r="O9" s="483">
        <f>transport!O14</f>
        <v>0</v>
      </c>
      <c r="P9" s="483">
        <f>transport!P14</f>
        <v>0</v>
      </c>
      <c r="Q9" s="482">
        <f>SUM(B9:P9)</f>
        <v>22501.880170108878</v>
      </c>
    </row>
    <row r="10" spans="1:17">
      <c r="A10" s="478" t="s">
        <v>561</v>
      </c>
      <c r="B10" s="479">
        <f>transport!B54</f>
        <v>0</v>
      </c>
      <c r="C10" s="479">
        <f>transport!C54</f>
        <v>0</v>
      </c>
      <c r="D10" s="479">
        <f>transport!D54</f>
        <v>0</v>
      </c>
      <c r="E10" s="479">
        <f>transport!E54</f>
        <v>0</v>
      </c>
      <c r="F10" s="479">
        <f>transport!F54</f>
        <v>0</v>
      </c>
      <c r="G10" s="479">
        <f>transport!G54</f>
        <v>656.83609307166807</v>
      </c>
      <c r="H10" s="479">
        <f>transport!H54</f>
        <v>0</v>
      </c>
      <c r="I10" s="479">
        <f>transport!I54</f>
        <v>0</v>
      </c>
      <c r="J10" s="479">
        <f>transport!J54</f>
        <v>0</v>
      </c>
      <c r="K10" s="479">
        <f>transport!K54</f>
        <v>0</v>
      </c>
      <c r="L10" s="479">
        <f>transport!L54</f>
        <v>0</v>
      </c>
      <c r="M10" s="479">
        <f>transport!M54</f>
        <v>37.457447607229966</v>
      </c>
      <c r="N10" s="479">
        <f>transport!N54</f>
        <v>0</v>
      </c>
      <c r="O10" s="479">
        <f>transport!O54</f>
        <v>0</v>
      </c>
      <c r="P10" s="480">
        <f>transport!P54</f>
        <v>0</v>
      </c>
      <c r="Q10" s="478">
        <f t="shared" si="0"/>
        <v>694.29354067889801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30071.451960969309</v>
      </c>
      <c r="C14" s="489">
        <f t="shared" ref="C14:Q14" ca="1" si="1">SUM(C4:C13)</f>
        <v>0</v>
      </c>
      <c r="D14" s="489">
        <f t="shared" ca="1" si="1"/>
        <v>59472.180014590049</v>
      </c>
      <c r="E14" s="489">
        <f t="shared" si="1"/>
        <v>706.23899245335076</v>
      </c>
      <c r="F14" s="489">
        <f t="shared" ca="1" si="1"/>
        <v>3337.8731592511231</v>
      </c>
      <c r="G14" s="489">
        <f t="shared" si="1"/>
        <v>17897.358326905247</v>
      </c>
      <c r="H14" s="489">
        <f t="shared" si="1"/>
        <v>4055.4195723660528</v>
      </c>
      <c r="I14" s="489">
        <f t="shared" si="1"/>
        <v>0</v>
      </c>
      <c r="J14" s="489">
        <f t="shared" si="1"/>
        <v>15.279012598061966</v>
      </c>
      <c r="K14" s="489">
        <f t="shared" si="1"/>
        <v>0</v>
      </c>
      <c r="L14" s="489">
        <f t="shared" ca="1" si="1"/>
        <v>0</v>
      </c>
      <c r="M14" s="489">
        <f t="shared" si="1"/>
        <v>1159.5853572061426</v>
      </c>
      <c r="N14" s="489">
        <f t="shared" ca="1" si="1"/>
        <v>2902.867526595358</v>
      </c>
      <c r="O14" s="489">
        <f t="shared" si="1"/>
        <v>34.393333333333338</v>
      </c>
      <c r="P14" s="490">
        <f t="shared" si="1"/>
        <v>247.86666666666667</v>
      </c>
      <c r="Q14" s="490">
        <f t="shared" ca="1" si="1"/>
        <v>119900.51392293471</v>
      </c>
    </row>
    <row r="16" spans="1:17">
      <c r="A16" s="492" t="s">
        <v>566</v>
      </c>
      <c r="B16" s="842">
        <f ca="1">huishoudens!B10</f>
        <v>0.19796781585087958</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3017.7476798959087</v>
      </c>
      <c r="C21" s="479">
        <f t="shared" ref="C21:C30" ca="1" si="3">C4*$C$16</f>
        <v>0</v>
      </c>
      <c r="D21" s="479">
        <f t="shared" ref="D21:D30" si="4">D4*$D$16</f>
        <v>9396.9767061279999</v>
      </c>
      <c r="E21" s="479">
        <f t="shared" ref="E21:E30" si="5">E4*$E$16</f>
        <v>33.193823448092786</v>
      </c>
      <c r="F21" s="479">
        <f t="shared" ref="F21:F30" si="6">F4*$F$16</f>
        <v>0</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12447.918209472002</v>
      </c>
    </row>
    <row r="22" spans="1:17">
      <c r="A22" s="478" t="s">
        <v>156</v>
      </c>
      <c r="B22" s="479">
        <f t="shared" ca="1" si="2"/>
        <v>2159.912611319201</v>
      </c>
      <c r="C22" s="479">
        <f t="shared" ca="1" si="3"/>
        <v>0</v>
      </c>
      <c r="D22" s="479">
        <f t="shared" ca="1" si="4"/>
        <v>2064.0333315800008</v>
      </c>
      <c r="E22" s="479">
        <f t="shared" si="5"/>
        <v>23.567428819415664</v>
      </c>
      <c r="F22" s="479">
        <f t="shared" ca="1" si="6"/>
        <v>421.97865112386978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4669.4920228424871</v>
      </c>
    </row>
    <row r="23" spans="1:17">
      <c r="A23" s="478" t="s">
        <v>194</v>
      </c>
      <c r="B23" s="479">
        <f t="shared" ca="1" si="2"/>
        <v>114.09657301968009</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114.09657301968009</v>
      </c>
    </row>
    <row r="24" spans="1:17">
      <c r="A24" s="478" t="s">
        <v>112</v>
      </c>
      <c r="B24" s="479">
        <f t="shared" ca="1" si="2"/>
        <v>2.8374727045906569</v>
      </c>
      <c r="C24" s="479">
        <f t="shared" ca="1" si="3"/>
        <v>0</v>
      </c>
      <c r="D24" s="479">
        <f t="shared" si="4"/>
        <v>3.5861391279999997</v>
      </c>
      <c r="E24" s="479">
        <f t="shared" si="5"/>
        <v>3.0136122571175487E-2</v>
      </c>
      <c r="F24" s="479">
        <f t="shared" si="6"/>
        <v>9.7096022327973603</v>
      </c>
      <c r="G24" s="479">
        <f t="shared" si="7"/>
        <v>0</v>
      </c>
      <c r="H24" s="479">
        <f t="shared" si="8"/>
        <v>0</v>
      </c>
      <c r="I24" s="479">
        <f t="shared" si="9"/>
        <v>0</v>
      </c>
      <c r="J24" s="479">
        <f t="shared" si="10"/>
        <v>0.77788273528838447</v>
      </c>
      <c r="K24" s="479">
        <f t="shared" si="11"/>
        <v>0</v>
      </c>
      <c r="L24" s="479">
        <f t="shared" si="12"/>
        <v>0</v>
      </c>
      <c r="M24" s="479">
        <f t="shared" si="13"/>
        <v>0</v>
      </c>
      <c r="N24" s="479">
        <f t="shared" si="14"/>
        <v>0</v>
      </c>
      <c r="O24" s="479">
        <f t="shared" si="15"/>
        <v>0</v>
      </c>
      <c r="P24" s="480">
        <f t="shared" si="16"/>
        <v>0</v>
      </c>
      <c r="Q24" s="478">
        <f t="shared" ca="1" si="17"/>
        <v>16.941232923247576</v>
      </c>
    </row>
    <row r="25" spans="1:17">
      <c r="A25" s="478" t="s">
        <v>650</v>
      </c>
      <c r="B25" s="479">
        <f t="shared" ca="1" si="2"/>
        <v>657.72807341514635</v>
      </c>
      <c r="C25" s="479">
        <f t="shared" ca="1" si="3"/>
        <v>0</v>
      </c>
      <c r="D25" s="479">
        <f t="shared" si="4"/>
        <v>546.62602970800003</v>
      </c>
      <c r="E25" s="479">
        <f t="shared" si="5"/>
        <v>87.908115715896372</v>
      </c>
      <c r="F25" s="479">
        <f t="shared" si="6"/>
        <v>459.5238801633829</v>
      </c>
      <c r="G25" s="479">
        <f t="shared" si="7"/>
        <v>0</v>
      </c>
      <c r="H25" s="479">
        <f t="shared" si="8"/>
        <v>0</v>
      </c>
      <c r="I25" s="479">
        <f t="shared" si="9"/>
        <v>0</v>
      </c>
      <c r="J25" s="479">
        <f t="shared" si="10"/>
        <v>4.6308877244255511</v>
      </c>
      <c r="K25" s="479">
        <f t="shared" si="11"/>
        <v>0</v>
      </c>
      <c r="L25" s="479">
        <f t="shared" si="12"/>
        <v>0</v>
      </c>
      <c r="M25" s="479">
        <f t="shared" si="13"/>
        <v>0</v>
      </c>
      <c r="N25" s="479">
        <f t="shared" si="14"/>
        <v>0</v>
      </c>
      <c r="O25" s="479">
        <f t="shared" si="15"/>
        <v>0</v>
      </c>
      <c r="P25" s="480">
        <f t="shared" si="16"/>
        <v>0</v>
      </c>
      <c r="Q25" s="478">
        <f t="shared" ca="1" si="17"/>
        <v>1756.4169867268513</v>
      </c>
    </row>
    <row r="26" spans="1:17" s="484" customFormat="1">
      <c r="A26" s="482" t="s">
        <v>571</v>
      </c>
      <c r="B26" s="836">
        <f t="shared" ca="1" si="2"/>
        <v>0.85725382321731136</v>
      </c>
      <c r="C26" s="483">
        <f t="shared" ca="1" si="3"/>
        <v>0</v>
      </c>
      <c r="D26" s="483">
        <f t="shared" si="4"/>
        <v>2.158156403190246</v>
      </c>
      <c r="E26" s="483">
        <f t="shared" si="5"/>
        <v>15.616747180934622</v>
      </c>
      <c r="F26" s="483">
        <f t="shared" si="6"/>
        <v>0</v>
      </c>
      <c r="G26" s="483">
        <f t="shared" si="7"/>
        <v>4603.2194364335655</v>
      </c>
      <c r="H26" s="483">
        <f t="shared" si="8"/>
        <v>1009.7994735191471</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5631.6510673600542</v>
      </c>
    </row>
    <row r="27" spans="1:17">
      <c r="A27" s="478" t="s">
        <v>561</v>
      </c>
      <c r="B27" s="479">
        <f t="shared" ca="1" si="2"/>
        <v>0</v>
      </c>
      <c r="C27" s="479">
        <f t="shared" ca="1" si="3"/>
        <v>0</v>
      </c>
      <c r="D27" s="479">
        <f t="shared" si="4"/>
        <v>0</v>
      </c>
      <c r="E27" s="479">
        <f t="shared" si="5"/>
        <v>0</v>
      </c>
      <c r="F27" s="479">
        <f t="shared" si="6"/>
        <v>0</v>
      </c>
      <c r="G27" s="479">
        <f t="shared" si="7"/>
        <v>175.37523685013539</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175.37523685013539</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5953.1796641777446</v>
      </c>
      <c r="C31" s="489">
        <f t="shared" ca="1" si="18"/>
        <v>0</v>
      </c>
      <c r="D31" s="489">
        <f t="shared" ca="1" si="18"/>
        <v>12013.380362947191</v>
      </c>
      <c r="E31" s="489">
        <f t="shared" si="18"/>
        <v>160.31625128691064</v>
      </c>
      <c r="F31" s="489">
        <f t="shared" ca="1" si="18"/>
        <v>891.21213352004997</v>
      </c>
      <c r="G31" s="489">
        <f t="shared" si="18"/>
        <v>4778.594673283701</v>
      </c>
      <c r="H31" s="489">
        <f t="shared" si="18"/>
        <v>1009.7994735191471</v>
      </c>
      <c r="I31" s="489">
        <f t="shared" si="18"/>
        <v>0</v>
      </c>
      <c r="J31" s="489">
        <f t="shared" si="18"/>
        <v>5.4087704597139359</v>
      </c>
      <c r="K31" s="489">
        <f t="shared" si="18"/>
        <v>0</v>
      </c>
      <c r="L31" s="489">
        <f t="shared" ca="1" si="18"/>
        <v>0</v>
      </c>
      <c r="M31" s="489">
        <f t="shared" si="18"/>
        <v>0</v>
      </c>
      <c r="N31" s="489">
        <f t="shared" ca="1" si="18"/>
        <v>0</v>
      </c>
      <c r="O31" s="489">
        <f t="shared" si="18"/>
        <v>0</v>
      </c>
      <c r="P31" s="490">
        <f t="shared" si="18"/>
        <v>0</v>
      </c>
      <c r="Q31" s="490">
        <f t="shared" ca="1" si="18"/>
        <v>24811.891329194455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0.19796781585087958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0.19796781585087958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0.19796781585087958</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11030</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4079</v>
      </c>
      <c r="C9" s="342">
        <v>4335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81</v>
      </c>
    </row>
    <row r="15" spans="1:6">
      <c r="A15" s="348" t="s">
        <v>184</v>
      </c>
      <c r="B15" s="334">
        <v>0</v>
      </c>
    </row>
    <row r="16" spans="1:6">
      <c r="A16" s="348" t="s">
        <v>6</v>
      </c>
      <c r="B16" s="334">
        <v>0</v>
      </c>
    </row>
    <row r="17" spans="1:6">
      <c r="A17" s="348" t="s">
        <v>7</v>
      </c>
      <c r="B17" s="334">
        <v>41</v>
      </c>
    </row>
    <row r="18" spans="1:6">
      <c r="A18" s="348" t="s">
        <v>8</v>
      </c>
      <c r="B18" s="334">
        <v>30</v>
      </c>
    </row>
    <row r="19" spans="1:6">
      <c r="A19" s="348" t="s">
        <v>9</v>
      </c>
      <c r="B19" s="334">
        <v>22</v>
      </c>
    </row>
    <row r="20" spans="1:6">
      <c r="A20" s="348" t="s">
        <v>10</v>
      </c>
      <c r="B20" s="334">
        <v>52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828</v>
      </c>
      <c r="B29" s="355">
        <v>2</v>
      </c>
      <c r="C29" s="356"/>
      <c r="D29" s="356"/>
      <c r="E29" s="356"/>
      <c r="F29" s="356"/>
    </row>
    <row r="30" spans="1:6">
      <c r="A30" s="341" t="s">
        <v>829</v>
      </c>
      <c r="B30" s="341">
        <v>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18619</v>
      </c>
    </row>
    <row r="37" spans="1:6">
      <c r="A37" s="348" t="s">
        <v>25</v>
      </c>
      <c r="B37" s="348" t="s">
        <v>28</v>
      </c>
      <c r="C37" s="334">
        <v>0</v>
      </c>
      <c r="D37" s="334">
        <v>0</v>
      </c>
      <c r="E37" s="334">
        <v>0</v>
      </c>
      <c r="F37" s="334">
        <v>0</v>
      </c>
    </row>
    <row r="38" spans="1:6">
      <c r="A38" s="348" t="s">
        <v>25</v>
      </c>
      <c r="B38" s="348" t="s">
        <v>29</v>
      </c>
      <c r="C38" s="334">
        <v>0</v>
      </c>
      <c r="D38" s="334">
        <v>0</v>
      </c>
      <c r="E38" s="334">
        <v>1</v>
      </c>
      <c r="F38" s="334">
        <v>151349</v>
      </c>
    </row>
    <row r="39" spans="1:6">
      <c r="A39" s="348" t="s">
        <v>30</v>
      </c>
      <c r="B39" s="348" t="s">
        <v>31</v>
      </c>
      <c r="C39" s="334">
        <v>3673</v>
      </c>
      <c r="D39" s="334">
        <v>51573932</v>
      </c>
      <c r="E39" s="334">
        <v>4317</v>
      </c>
      <c r="F39" s="334">
        <v>14364497</v>
      </c>
    </row>
    <row r="40" spans="1:6">
      <c r="A40" s="348" t="s">
        <v>30</v>
      </c>
      <c r="B40" s="348" t="s">
        <v>29</v>
      </c>
      <c r="C40" s="334">
        <v>0</v>
      </c>
      <c r="D40" s="334">
        <v>0</v>
      </c>
      <c r="E40" s="334">
        <v>0</v>
      </c>
      <c r="F40" s="334">
        <v>0</v>
      </c>
    </row>
    <row r="41" spans="1:6">
      <c r="A41" s="348" t="s">
        <v>32</v>
      </c>
      <c r="B41" s="348" t="s">
        <v>33</v>
      </c>
      <c r="C41" s="334">
        <v>46</v>
      </c>
      <c r="D41" s="334">
        <v>1380425</v>
      </c>
      <c r="E41" s="334">
        <v>89</v>
      </c>
      <c r="F41" s="334">
        <v>1038831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8</v>
      </c>
      <c r="D44" s="334">
        <v>146882</v>
      </c>
      <c r="E44" s="334">
        <v>11</v>
      </c>
      <c r="F44" s="334">
        <v>195226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92674</v>
      </c>
      <c r="E47" s="334">
        <v>3</v>
      </c>
      <c r="F47" s="334">
        <v>10407</v>
      </c>
    </row>
    <row r="48" spans="1:6">
      <c r="A48" s="348" t="s">
        <v>32</v>
      </c>
      <c r="B48" s="348" t="s">
        <v>29</v>
      </c>
      <c r="C48" s="334">
        <v>3</v>
      </c>
      <c r="D48" s="334">
        <v>806139</v>
      </c>
      <c r="E48" s="334">
        <v>3</v>
      </c>
      <c r="F48" s="334">
        <v>1856839</v>
      </c>
    </row>
    <row r="49" spans="1:6">
      <c r="A49" s="348" t="s">
        <v>32</v>
      </c>
      <c r="B49" s="348" t="s">
        <v>40</v>
      </c>
      <c r="C49" s="334">
        <v>0</v>
      </c>
      <c r="D49" s="334">
        <v>0</v>
      </c>
      <c r="E49" s="334">
        <v>0</v>
      </c>
      <c r="F49" s="334">
        <v>0</v>
      </c>
    </row>
    <row r="50" spans="1:6">
      <c r="A50" s="348" t="s">
        <v>32</v>
      </c>
      <c r="B50" s="348" t="s">
        <v>41</v>
      </c>
      <c r="C50" s="334">
        <v>9</v>
      </c>
      <c r="D50" s="334">
        <v>573957</v>
      </c>
      <c r="E50" s="334">
        <v>10</v>
      </c>
      <c r="F50" s="334">
        <v>221096</v>
      </c>
    </row>
    <row r="51" spans="1:6">
      <c r="A51" s="348" t="s">
        <v>42</v>
      </c>
      <c r="B51" s="348" t="s">
        <v>43</v>
      </c>
      <c r="C51" s="334">
        <v>0</v>
      </c>
      <c r="D51" s="334">
        <v>0</v>
      </c>
      <c r="E51" s="334">
        <v>4</v>
      </c>
      <c r="F51" s="334">
        <v>14333</v>
      </c>
    </row>
    <row r="52" spans="1:6">
      <c r="A52" s="348" t="s">
        <v>42</v>
      </c>
      <c r="B52" s="348" t="s">
        <v>29</v>
      </c>
      <c r="C52" s="334">
        <v>2</v>
      </c>
      <c r="D52" s="334">
        <v>19682</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8</v>
      </c>
      <c r="F54" s="334">
        <v>576339</v>
      </c>
    </row>
    <row r="55" spans="1:6">
      <c r="A55" s="348" t="s">
        <v>46</v>
      </c>
      <c r="B55" s="348" t="s">
        <v>29</v>
      </c>
      <c r="C55" s="334">
        <v>0</v>
      </c>
      <c r="D55" s="334">
        <v>0</v>
      </c>
      <c r="E55" s="334">
        <v>0</v>
      </c>
      <c r="F55" s="334">
        <v>0</v>
      </c>
    </row>
    <row r="56" spans="1:6">
      <c r="A56" s="348" t="s">
        <v>48</v>
      </c>
      <c r="B56" s="348" t="s">
        <v>29</v>
      </c>
      <c r="C56" s="334">
        <v>72</v>
      </c>
      <c r="D56" s="334">
        <v>1378820</v>
      </c>
      <c r="E56" s="334">
        <v>112</v>
      </c>
      <c r="F56" s="334">
        <v>550220</v>
      </c>
    </row>
    <row r="57" spans="1:6">
      <c r="A57" s="348" t="s">
        <v>49</v>
      </c>
      <c r="B57" s="348" t="s">
        <v>50</v>
      </c>
      <c r="C57" s="334">
        <v>25</v>
      </c>
      <c r="D57" s="334">
        <v>870076</v>
      </c>
      <c r="E57" s="334">
        <v>44</v>
      </c>
      <c r="F57" s="334">
        <v>1582399</v>
      </c>
    </row>
    <row r="58" spans="1:6">
      <c r="A58" s="348" t="s">
        <v>49</v>
      </c>
      <c r="B58" s="348" t="s">
        <v>51</v>
      </c>
      <c r="C58" s="334">
        <v>8</v>
      </c>
      <c r="D58" s="334">
        <v>1750187</v>
      </c>
      <c r="E58" s="334">
        <v>9</v>
      </c>
      <c r="F58" s="334">
        <v>488999</v>
      </c>
    </row>
    <row r="59" spans="1:6">
      <c r="A59" s="348" t="s">
        <v>49</v>
      </c>
      <c r="B59" s="348" t="s">
        <v>52</v>
      </c>
      <c r="C59" s="334">
        <v>48</v>
      </c>
      <c r="D59" s="334">
        <v>1775010</v>
      </c>
      <c r="E59" s="334">
        <v>66</v>
      </c>
      <c r="F59" s="334">
        <v>6015196</v>
      </c>
    </row>
    <row r="60" spans="1:6">
      <c r="A60" s="348" t="s">
        <v>49</v>
      </c>
      <c r="B60" s="348" t="s">
        <v>53</v>
      </c>
      <c r="C60" s="334">
        <v>33</v>
      </c>
      <c r="D60" s="334">
        <v>1115694</v>
      </c>
      <c r="E60" s="334">
        <v>42</v>
      </c>
      <c r="F60" s="334">
        <v>614156</v>
      </c>
    </row>
    <row r="61" spans="1:6">
      <c r="A61" s="348" t="s">
        <v>49</v>
      </c>
      <c r="B61" s="348" t="s">
        <v>54</v>
      </c>
      <c r="C61" s="334">
        <v>96</v>
      </c>
      <c r="D61" s="334">
        <v>4855331</v>
      </c>
      <c r="E61" s="334">
        <v>175</v>
      </c>
      <c r="F61" s="334">
        <v>2011346</v>
      </c>
    </row>
    <row r="62" spans="1:6">
      <c r="A62" s="348" t="s">
        <v>49</v>
      </c>
      <c r="B62" s="348" t="s">
        <v>55</v>
      </c>
      <c r="C62" s="334">
        <v>3</v>
      </c>
      <c r="D62" s="334">
        <v>961847</v>
      </c>
      <c r="E62" s="334">
        <v>0</v>
      </c>
      <c r="F62" s="334">
        <v>0</v>
      </c>
    </row>
    <row r="63" spans="1:6">
      <c r="A63" s="348" t="s">
        <v>49</v>
      </c>
      <c r="B63" s="348" t="s">
        <v>29</v>
      </c>
      <c r="C63" s="334">
        <v>0</v>
      </c>
      <c r="D63" s="334">
        <v>0</v>
      </c>
      <c r="E63" s="334">
        <v>2</v>
      </c>
      <c r="F63" s="334">
        <v>198327</v>
      </c>
    </row>
    <row r="64" spans="1:6">
      <c r="A64" s="348" t="s">
        <v>56</v>
      </c>
      <c r="B64" s="348" t="s">
        <v>57</v>
      </c>
      <c r="C64" s="334">
        <v>0</v>
      </c>
      <c r="D64" s="334">
        <v>0</v>
      </c>
      <c r="E64" s="334">
        <v>0</v>
      </c>
      <c r="F64" s="334">
        <v>0</v>
      </c>
    </row>
    <row r="65" spans="1:6">
      <c r="A65" s="348" t="s">
        <v>56</v>
      </c>
      <c r="B65" s="348" t="s">
        <v>29</v>
      </c>
      <c r="C65" s="334">
        <v>3</v>
      </c>
      <c r="D65" s="334">
        <v>54523</v>
      </c>
      <c r="E65" s="334">
        <v>1</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9</v>
      </c>
      <c r="F68" s="334">
        <v>156105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28856161</v>
      </c>
      <c r="E73" s="477">
        <v>31126506.478008106</v>
      </c>
    </row>
    <row r="74" spans="1:6">
      <c r="A74" s="348" t="s">
        <v>64</v>
      </c>
      <c r="B74" s="348" t="s">
        <v>714</v>
      </c>
      <c r="C74" s="1229" t="s">
        <v>716</v>
      </c>
      <c r="D74" s="477">
        <v>885012.09499323228</v>
      </c>
      <c r="E74" s="477">
        <v>935158.90829394013</v>
      </c>
    </row>
    <row r="75" spans="1:6">
      <c r="A75" s="348" t="s">
        <v>65</v>
      </c>
      <c r="B75" s="348" t="s">
        <v>713</v>
      </c>
      <c r="C75" s="1229" t="s">
        <v>717</v>
      </c>
      <c r="D75" s="477">
        <v>2739296</v>
      </c>
      <c r="E75" s="477">
        <v>2944518.5514691258</v>
      </c>
    </row>
    <row r="76" spans="1:6">
      <c r="A76" s="348" t="s">
        <v>65</v>
      </c>
      <c r="B76" s="348" t="s">
        <v>714</v>
      </c>
      <c r="C76" s="1229" t="s">
        <v>718</v>
      </c>
      <c r="D76" s="477">
        <v>236020.09499323228</v>
      </c>
      <c r="E76" s="477">
        <v>263605.1916596996</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185531.81001353543</v>
      </c>
      <c r="C83" s="477">
        <v>183429.71911498098</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879.13069233684496</v>
      </c>
    </row>
    <row r="92" spans="1:6">
      <c r="A92" s="341" t="s">
        <v>69</v>
      </c>
      <c r="B92" s="342">
        <v>2254.856724841768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2687</v>
      </c>
    </row>
    <row r="98" spans="1:6">
      <c r="A98" s="348" t="s">
        <v>72</v>
      </c>
      <c r="B98" s="334">
        <v>5</v>
      </c>
    </row>
    <row r="99" spans="1:6">
      <c r="A99" s="348" t="s">
        <v>73</v>
      </c>
      <c r="B99" s="334">
        <v>10</v>
      </c>
    </row>
    <row r="100" spans="1:6">
      <c r="A100" s="348" t="s">
        <v>74</v>
      </c>
      <c r="B100" s="334">
        <v>375</v>
      </c>
    </row>
    <row r="101" spans="1:6">
      <c r="A101" s="348" t="s">
        <v>75</v>
      </c>
      <c r="B101" s="334">
        <v>16</v>
      </c>
    </row>
    <row r="102" spans="1:6">
      <c r="A102" s="348" t="s">
        <v>76</v>
      </c>
      <c r="B102" s="334">
        <v>52</v>
      </c>
    </row>
    <row r="103" spans="1:6">
      <c r="A103" s="348" t="s">
        <v>77</v>
      </c>
      <c r="B103" s="334">
        <v>69</v>
      </c>
    </row>
    <row r="104" spans="1:6">
      <c r="A104" s="348" t="s">
        <v>78</v>
      </c>
      <c r="B104" s="334">
        <v>325</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22</v>
      </c>
    </row>
    <row r="130" spans="1:6">
      <c r="A130" s="348" t="s">
        <v>295</v>
      </c>
      <c r="B130" s="334">
        <v>0</v>
      </c>
    </row>
    <row r="131" spans="1:6">
      <c r="A131" s="348" t="s">
        <v>296</v>
      </c>
      <c r="B131" s="334">
        <v>0</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30071.451960969309</v>
      </c>
      <c r="C3" s="43" t="s">
        <v>170</v>
      </c>
      <c r="D3" s="43"/>
      <c r="E3" s="154"/>
      <c r="F3" s="43"/>
      <c r="G3" s="43"/>
      <c r="H3" s="43"/>
      <c r="I3" s="43"/>
      <c r="J3" s="43"/>
      <c r="K3" s="96"/>
    </row>
    <row r="4" spans="1:11">
      <c r="A4" s="384" t="s">
        <v>171</v>
      </c>
      <c r="B4" s="49">
        <f>IF(ISERROR('SEAP template'!B69),0,'SEAP template'!B69)</f>
        <v>3133.9874171786132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0.19796781585087958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576.33900000000006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576.33900000000006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0.19796781585087958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114.09657301968009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14364.496999999999</v>
      </c>
      <c r="C5" s="17">
        <f>IF(ISERROR('Eigen informatie GS &amp; warmtenet'!B57),0,'Eigen informatie GS &amp; warmtenet'!B57)</f>
        <v>0</v>
      </c>
      <c r="D5" s="30">
        <f>(SUM(HH_hh_gas_kWh,HH_rest_gas_kWh)/1000)*0.902</f>
        <v>46519.686664000001</v>
      </c>
      <c r="E5" s="17">
        <f>B46*B57</f>
        <v>146.22829712816204</v>
      </c>
      <c r="F5" s="17">
        <f>B51*B62</f>
        <v>0</v>
      </c>
      <c r="G5" s="18"/>
      <c r="H5" s="17"/>
      <c r="I5" s="17"/>
      <c r="J5" s="17">
        <f>B50*B61+C50*C61</f>
        <v>0</v>
      </c>
      <c r="K5" s="17"/>
      <c r="L5" s="17"/>
      <c r="M5" s="17"/>
      <c r="N5" s="17">
        <f>B48*B59+C48*C59</f>
        <v>887.25732150691579</v>
      </c>
      <c r="O5" s="17">
        <f>B69*B70*B71</f>
        <v>34.393333333333338</v>
      </c>
      <c r="P5" s="17">
        <f>B77*B78*B79/1000-B77*B78*B79/1000/B80</f>
        <v>247.86666666666667</v>
      </c>
    </row>
    <row r="6" spans="1:16">
      <c r="A6" s="16" t="s">
        <v>631</v>
      </c>
      <c r="B6" s="844">
        <f>kWh_PV_kleiner_dan_10kW</f>
        <v>879.13069233684496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15243.627692336844</v>
      </c>
      <c r="C8" s="21">
        <f>C5</f>
        <v>0</v>
      </c>
      <c r="D8" s="21">
        <f>D5</f>
        <v>46519.686664000001</v>
      </c>
      <c r="E8" s="21">
        <f>E5</f>
        <v>146.22829712816204</v>
      </c>
      <c r="F8" s="21">
        <f>F5</f>
        <v>0</v>
      </c>
      <c r="G8" s="21"/>
      <c r="H8" s="21"/>
      <c r="I8" s="21"/>
      <c r="J8" s="21">
        <f>J5</f>
        <v>0</v>
      </c>
      <c r="K8" s="21"/>
      <c r="L8" s="21">
        <f>L5</f>
        <v>0</v>
      </c>
      <c r="M8" s="21">
        <f>M5</f>
        <v>0</v>
      </c>
      <c r="N8" s="21">
        <f>N5</f>
        <v>887.25732150691579</v>
      </c>
      <c r="O8" s="21">
        <f>O5</f>
        <v>34.393333333333338</v>
      </c>
      <c r="P8" s="21">
        <f>P5</f>
        <v>247.86666666666667</v>
      </c>
    </row>
    <row r="9" spans="1:16">
      <c r="B9" s="19"/>
      <c r="C9" s="19"/>
      <c r="D9" s="258"/>
      <c r="E9" s="19"/>
      <c r="F9" s="19"/>
      <c r="G9" s="19"/>
      <c r="H9" s="19"/>
      <c r="I9" s="19"/>
      <c r="J9" s="19"/>
      <c r="K9" s="19"/>
      <c r="L9" s="19"/>
      <c r="M9" s="19"/>
      <c r="N9" s="19"/>
      <c r="O9" s="19"/>
      <c r="P9" s="19"/>
    </row>
    <row r="10" spans="1:16">
      <c r="A10" s="24" t="s">
        <v>214</v>
      </c>
      <c r="B10" s="25">
        <f ca="1">'EF ele_warmte'!B12</f>
        <v>0.19796781585087958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3017.7476798959087</v>
      </c>
      <c r="C12" s="23">
        <f ca="1">C10*C8</f>
        <v>0</v>
      </c>
      <c r="D12" s="23">
        <f>D8*D10</f>
        <v>9396.9767061279999</v>
      </c>
      <c r="E12" s="23">
        <f>E10*E8</f>
        <v>33.193823448092786</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2687</v>
      </c>
      <c r="C18" s="166" t="s">
        <v>111</v>
      </c>
      <c r="D18" s="228"/>
      <c r="E18" s="15"/>
    </row>
    <row r="19" spans="1:7">
      <c r="A19" s="171" t="s">
        <v>72</v>
      </c>
      <c r="B19" s="37">
        <f>aantalw2001_ander</f>
        <v>5</v>
      </c>
      <c r="C19" s="166" t="s">
        <v>111</v>
      </c>
      <c r="D19" s="229"/>
      <c r="E19" s="15"/>
    </row>
    <row r="20" spans="1:7">
      <c r="A20" s="171" t="s">
        <v>73</v>
      </c>
      <c r="B20" s="37">
        <f>aantalw2001_propaan</f>
        <v>10</v>
      </c>
      <c r="C20" s="167">
        <f>IF(ISERROR(B20/SUM($B$20,$B$21,$B$22)*100),0,B20/SUM($B$20,$B$21,$B$22)*100)</f>
        <v>2.4937655860349128</v>
      </c>
      <c r="D20" s="229"/>
      <c r="E20" s="15"/>
    </row>
    <row r="21" spans="1:7">
      <c r="A21" s="171" t="s">
        <v>74</v>
      </c>
      <c r="B21" s="37">
        <f>aantalw2001_elektriciteit</f>
        <v>375</v>
      </c>
      <c r="C21" s="167">
        <f>IF(ISERROR(B21/SUM($B$20,$B$21,$B$22)*100),0,B21/SUM($B$20,$B$21,$B$22)*100)</f>
        <v>93.516209476309228</v>
      </c>
      <c r="D21" s="229"/>
      <c r="E21" s="15"/>
    </row>
    <row r="22" spans="1:7">
      <c r="A22" s="171" t="s">
        <v>75</v>
      </c>
      <c r="B22" s="37">
        <f>aantalw2001_hout</f>
        <v>16</v>
      </c>
      <c r="C22" s="167">
        <f>IF(ISERROR(B22/SUM($B$20,$B$21,$B$22)*100),0,B22/SUM($B$20,$B$21,$B$22)*100)</f>
        <v>3.9900249376558601</v>
      </c>
      <c r="D22" s="229"/>
      <c r="E22" s="15"/>
    </row>
    <row r="23" spans="1:7">
      <c r="A23" s="171" t="s">
        <v>76</v>
      </c>
      <c r="B23" s="37">
        <f>aantalw2001_niet_gespec</f>
        <v>52</v>
      </c>
      <c r="C23" s="166" t="s">
        <v>111</v>
      </c>
      <c r="D23" s="228"/>
      <c r="E23" s="15"/>
    </row>
    <row r="24" spans="1:7">
      <c r="A24" s="171" t="s">
        <v>77</v>
      </c>
      <c r="B24" s="37">
        <f>aantalw2001_steenkool</f>
        <v>69</v>
      </c>
      <c r="C24" s="166" t="s">
        <v>111</v>
      </c>
      <c r="D24" s="229"/>
      <c r="E24" s="15"/>
    </row>
    <row r="25" spans="1:7">
      <c r="A25" s="171" t="s">
        <v>78</v>
      </c>
      <c r="B25" s="37">
        <f>aantalw2001_stookolie</f>
        <v>325</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4079</v>
      </c>
      <c r="C28" s="36"/>
      <c r="D28" s="228"/>
    </row>
    <row r="29" spans="1:7" s="15" customFormat="1">
      <c r="A29" s="230" t="s">
        <v>741</v>
      </c>
      <c r="B29" s="37">
        <f>SUM(HH_hh_gas_aantal,HH_rest_gas_aantal)</f>
        <v>3673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3673</v>
      </c>
      <c r="C32" s="167">
        <f>IF(ISERROR(B32/SUM($B$32,$B$34,$B$35,$B$36,$B$38,$B$39)*100),0,B32/SUM($B$32,$B$34,$B$35,$B$36,$B$38,$B$39)*100)</f>
        <v>90.334481062469251</v>
      </c>
      <c r="D32" s="233"/>
      <c r="G32" s="15"/>
    </row>
    <row r="33" spans="1:7">
      <c r="A33" s="171" t="s">
        <v>72</v>
      </c>
      <c r="B33" s="34" t="s">
        <v>111</v>
      </c>
      <c r="C33" s="167"/>
      <c r="D33" s="233"/>
      <c r="G33" s="15"/>
    </row>
    <row r="34" spans="1:7">
      <c r="A34" s="171" t="s">
        <v>73</v>
      </c>
      <c r="B34" s="33">
        <f>IF((($B$28-$B$32-$B$39-$B$77-$B$38)*C20/100)&lt;0,0,($B$28-$B$32-$B$39-$B$77-$B$38)*C20/100)</f>
        <v>9.800498753117207</v>
      </c>
      <c r="C34" s="167">
        <f>IF(ISERROR(B34/SUM($B$32,$B$34,$B$35,$B$36,$B$38,$B$39)*100),0,B34/SUM($B$32,$B$34,$B$35,$B$36,$B$38,$B$39)*100)</f>
        <v>0.24103538497582899</v>
      </c>
      <c r="D34" s="233"/>
      <c r="G34" s="15"/>
    </row>
    <row r="35" spans="1:7">
      <c r="A35" s="171" t="s">
        <v>74</v>
      </c>
      <c r="B35" s="33">
        <f>IF((($B$28-$B$32-$B$39-$B$77-$B$38)*C21/100)&lt;0,0,($B$28-$B$32-$B$39-$B$77-$B$38)*C21/100)</f>
        <v>367.51870324189525</v>
      </c>
      <c r="C35" s="167">
        <f>IF(ISERROR(B35/SUM($B$32,$B$34,$B$35,$B$36,$B$38,$B$39)*100),0,B35/SUM($B$32,$B$34,$B$35,$B$36,$B$38,$B$39)*100)</f>
        <v>9.0388269365935869</v>
      </c>
      <c r="D35" s="233"/>
      <c r="G35" s="15"/>
    </row>
    <row r="36" spans="1:7">
      <c r="A36" s="171" t="s">
        <v>75</v>
      </c>
      <c r="B36" s="33">
        <f>IF((($B$28-$B$32-$B$39-$B$77-$B$38)*C22/100)&lt;0,0,($B$28-$B$32-$B$39-$B$77-$B$38)*C22/100)</f>
        <v>15.68079800498753</v>
      </c>
      <c r="C36" s="167">
        <f>IF(ISERROR(B36/SUM($B$32,$B$34,$B$35,$B$36,$B$38,$B$39)*100),0,B36/SUM($B$32,$B$34,$B$35,$B$36,$B$38,$B$39)*100)</f>
        <v>0.38565661596132639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3673</v>
      </c>
      <c r="C44" s="34" t="s">
        <v>111</v>
      </c>
      <c r="D44" s="174"/>
    </row>
    <row r="45" spans="1:7">
      <c r="A45" s="171" t="s">
        <v>72</v>
      </c>
      <c r="B45" s="33" t="str">
        <f t="shared" si="0"/>
        <v>-</v>
      </c>
      <c r="C45" s="34" t="s">
        <v>111</v>
      </c>
      <c r="D45" s="174"/>
    </row>
    <row r="46" spans="1:7">
      <c r="A46" s="171" t="s">
        <v>73</v>
      </c>
      <c r="B46" s="33">
        <f t="shared" si="0"/>
        <v>9.800498753117207</v>
      </c>
      <c r="C46" s="34" t="s">
        <v>111</v>
      </c>
      <c r="D46" s="174"/>
    </row>
    <row r="47" spans="1:7">
      <c r="A47" s="171" t="s">
        <v>74</v>
      </c>
      <c r="B47" s="33">
        <f t="shared" si="0"/>
        <v>367.51870324189525</v>
      </c>
      <c r="C47" s="34" t="s">
        <v>111</v>
      </c>
      <c r="D47" s="174"/>
    </row>
    <row r="48" spans="1:7">
      <c r="A48" s="171" t="s">
        <v>75</v>
      </c>
      <c r="B48" s="33">
        <f t="shared" si="0"/>
        <v>15.68079800498753</v>
      </c>
      <c r="C48" s="33">
        <f>B48*10</f>
        <v>156.80798004987531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10910.422999999999</v>
      </c>
      <c r="C5" s="17">
        <f>IF(ISERROR('Eigen informatie GS &amp; warmtenet'!B58),0,'Eigen informatie GS &amp; warmtenet'!B58)</f>
        <v>0</v>
      </c>
      <c r="D5" s="30">
        <f>SUM(D6:D12)</f>
        <v>10217.986790000003</v>
      </c>
      <c r="E5" s="17">
        <f>SUM(E6:E12)</f>
        <v>103.82127233222759</v>
      </c>
      <c r="F5" s="17">
        <f>SUM(F6:F12)</f>
        <v>1580.4443862317219</v>
      </c>
      <c r="G5" s="18"/>
      <c r="H5" s="17"/>
      <c r="I5" s="17"/>
      <c r="J5" s="17">
        <f>SUM(J6:J12)</f>
        <v>0</v>
      </c>
      <c r="K5" s="17"/>
      <c r="L5" s="17"/>
      <c r="M5" s="17"/>
      <c r="N5" s="17">
        <f>SUM(N6:N12)</f>
        <v>1204.6010970649336</v>
      </c>
      <c r="O5" s="17">
        <f>B38*B39*B40</f>
        <v>0</v>
      </c>
      <c r="P5" s="17">
        <f>B46*B47*B48/1000-B46*B47*B48/1000/B49</f>
        <v>0</v>
      </c>
      <c r="R5" s="32"/>
    </row>
    <row r="6" spans="1:18">
      <c r="A6" s="32" t="s">
        <v>54</v>
      </c>
      <c r="B6" s="37">
        <f>B26</f>
        <v>2011.346</v>
      </c>
      <c r="C6" s="33"/>
      <c r="D6" s="37">
        <f>IF(ISERROR(TER_kantoor_gas_kWh/1000),0,TER_kantoor_gas_kWh/1000)*0.902</f>
        <v>4379.508562</v>
      </c>
      <c r="E6" s="33">
        <f>$C$26*'E Balans VL '!I12/100/3.6*1000000</f>
        <v>5.8271644683020893</v>
      </c>
      <c r="F6" s="33">
        <f>$C$26*('E Balans VL '!L12+'E Balans VL '!N12)/100/3.6*1000000</f>
        <v>227.64005381189915</v>
      </c>
      <c r="G6" s="34"/>
      <c r="H6" s="33"/>
      <c r="I6" s="33"/>
      <c r="J6" s="33">
        <f>$C$26*('E Balans VL '!D12+'E Balans VL '!E12)/100/3.6*1000000</f>
        <v>0</v>
      </c>
      <c r="K6" s="33"/>
      <c r="L6" s="33"/>
      <c r="M6" s="33"/>
      <c r="N6" s="33">
        <f>$C$26*'E Balans VL '!Y12/100/3.6*1000000</f>
        <v>20.132091434096569</v>
      </c>
      <c r="O6" s="33"/>
      <c r="P6" s="33"/>
      <c r="R6" s="32"/>
    </row>
    <row r="7" spans="1:18">
      <c r="A7" s="32" t="s">
        <v>53</v>
      </c>
      <c r="B7" s="37">
        <f t="shared" ref="B7:B12" si="0">B27</f>
        <v>614.15599999999995</v>
      </c>
      <c r="C7" s="33"/>
      <c r="D7" s="37">
        <f>IF(ISERROR(TER_horeca_gas_kWh/1000),0,TER_horeca_gas_kWh/1000)*0.902</f>
        <v>1006.355988</v>
      </c>
      <c r="E7" s="33">
        <f>$C$27*'E Balans VL '!I9/100/3.6*1000000</f>
        <v>25.780552962049121</v>
      </c>
      <c r="F7" s="33">
        <f>$C$27*('E Balans VL '!L9+'E Balans VL '!N9)/100/3.6*1000000</f>
        <v>131.96401105496292</v>
      </c>
      <c r="G7" s="34"/>
      <c r="H7" s="33"/>
      <c r="I7" s="33"/>
      <c r="J7" s="33">
        <f>$C$27*('E Balans VL '!D9+'E Balans VL '!E9)/100/3.6*1000000</f>
        <v>0</v>
      </c>
      <c r="K7" s="33"/>
      <c r="L7" s="33"/>
      <c r="M7" s="33"/>
      <c r="N7" s="33">
        <f>$C$27*'E Balans VL '!Y9/100/3.6*1000000</f>
        <v>0.15826263021093498</v>
      </c>
      <c r="O7" s="33"/>
      <c r="P7" s="33"/>
      <c r="R7" s="32"/>
    </row>
    <row r="8" spans="1:18">
      <c r="A8" s="6" t="s">
        <v>52</v>
      </c>
      <c r="B8" s="37">
        <f t="shared" si="0"/>
        <v>6015.1959999999999</v>
      </c>
      <c r="C8" s="33"/>
      <c r="D8" s="37">
        <f>IF(ISERROR(TER_handel_gas_kWh/1000),0,TER_handel_gas_kWh/1000)*0.902</f>
        <v>1601.0590200000001</v>
      </c>
      <c r="E8" s="33">
        <f>$C$28*'E Balans VL '!I13/100/3.6*1000000</f>
        <v>64.608211345318608</v>
      </c>
      <c r="F8" s="33">
        <f>$C$28*('E Balans VL '!L13+'E Balans VL '!N13)/100/3.6*1000000</f>
        <v>778.71679466458033</v>
      </c>
      <c r="G8" s="34"/>
      <c r="H8" s="33"/>
      <c r="I8" s="33"/>
      <c r="J8" s="33">
        <f>$C$28*('E Balans VL '!D13+'E Balans VL '!E13)/100/3.6*1000000</f>
        <v>0</v>
      </c>
      <c r="K8" s="33"/>
      <c r="L8" s="33"/>
      <c r="M8" s="33"/>
      <c r="N8" s="33">
        <f>$C$28*'E Balans VL '!Y13/100/3.6*1000000</f>
        <v>48.795598395982182</v>
      </c>
      <c r="O8" s="33"/>
      <c r="P8" s="33"/>
      <c r="R8" s="32"/>
    </row>
    <row r="9" spans="1:18">
      <c r="A9" s="32" t="s">
        <v>51</v>
      </c>
      <c r="B9" s="37">
        <f t="shared" si="0"/>
        <v>488.99900000000002</v>
      </c>
      <c r="C9" s="33"/>
      <c r="D9" s="37">
        <f>IF(ISERROR(TER_gezond_gas_kWh/1000),0,TER_gezond_gas_kWh/1000)*0.902</f>
        <v>1578.668674</v>
      </c>
      <c r="E9" s="33">
        <f>$C$29*'E Balans VL '!I10/100/3.6*1000000</f>
        <v>0.38927483160799137</v>
      </c>
      <c r="F9" s="33">
        <f>$C$29*('E Balans VL '!L10+'E Balans VL '!N10)/100/3.6*1000000</f>
        <v>59.444895122048017</v>
      </c>
      <c r="G9" s="34"/>
      <c r="H9" s="33"/>
      <c r="I9" s="33"/>
      <c r="J9" s="33">
        <f>$C$29*('E Balans VL '!D10+'E Balans VL '!E10)/100/3.6*1000000</f>
        <v>0</v>
      </c>
      <c r="K9" s="33"/>
      <c r="L9" s="33"/>
      <c r="M9" s="33"/>
      <c r="N9" s="33">
        <f>$C$29*'E Balans VL '!Y10/100/3.6*1000000</f>
        <v>3.9500043702269818</v>
      </c>
      <c r="O9" s="33"/>
      <c r="P9" s="33"/>
      <c r="R9" s="32"/>
    </row>
    <row r="10" spans="1:18">
      <c r="A10" s="32" t="s">
        <v>50</v>
      </c>
      <c r="B10" s="37">
        <f t="shared" si="0"/>
        <v>1582.3989999999999</v>
      </c>
      <c r="C10" s="33"/>
      <c r="D10" s="37">
        <f>IF(ISERROR(TER_ander_gas_kWh/1000),0,TER_ander_gas_kWh/1000)*0.902</f>
        <v>784.80855200000008</v>
      </c>
      <c r="E10" s="33">
        <f>$C$30*'E Balans VL '!I14/100/3.6*1000000</f>
        <v>5.4229645015875416</v>
      </c>
      <c r="F10" s="33">
        <f>$C$30*('E Balans VL '!L14+'E Balans VL '!N14)/100/3.6*1000000</f>
        <v>353.44363547908711</v>
      </c>
      <c r="G10" s="34"/>
      <c r="H10" s="33"/>
      <c r="I10" s="33"/>
      <c r="J10" s="33">
        <f>$C$30*('E Balans VL '!D14+'E Balans VL '!E14)/100/3.6*1000000</f>
        <v>0</v>
      </c>
      <c r="K10" s="33"/>
      <c r="L10" s="33"/>
      <c r="M10" s="33"/>
      <c r="N10" s="33">
        <f>$C$30*'E Balans VL '!Y14/100/3.6*1000000</f>
        <v>1114.6505000767606</v>
      </c>
      <c r="O10" s="33"/>
      <c r="P10" s="33"/>
      <c r="R10" s="32"/>
    </row>
    <row r="11" spans="1:18">
      <c r="A11" s="32" t="s">
        <v>55</v>
      </c>
      <c r="B11" s="37">
        <f t="shared" si="0"/>
        <v>0</v>
      </c>
      <c r="C11" s="33"/>
      <c r="D11" s="37">
        <f>IF(ISERROR(TER_onderwijs_gas_kWh/1000),0,TER_onderwijs_gas_kWh/1000)*0.902</f>
        <v>867.58599400000003</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198.327</v>
      </c>
      <c r="C12" s="33"/>
      <c r="D12" s="37">
        <f>IF(ISERROR(TER_rest_gas_kWh/1000),0,TER_rest_gas_kWh/1000)*0.902</f>
        <v>0</v>
      </c>
      <c r="E12" s="33">
        <f>$C$32*'E Balans VL '!I8/100/3.6*1000000</f>
        <v>1.7931042233622372</v>
      </c>
      <c r="F12" s="33">
        <f>$C$32*('E Balans VL '!L8+'E Balans VL '!N8)/100/3.6*1000000</f>
        <v>29.234996099144478</v>
      </c>
      <c r="G12" s="34"/>
      <c r="H12" s="33"/>
      <c r="I12" s="33"/>
      <c r="J12" s="33">
        <f>$C$32*('E Balans VL '!D8+'E Balans VL '!E8)/100/3.6*1000000</f>
        <v>0</v>
      </c>
      <c r="K12" s="33"/>
      <c r="L12" s="33"/>
      <c r="M12" s="33"/>
      <c r="N12" s="33">
        <f>$C$32*'E Balans VL '!Y8/100/3.6*1000000</f>
        <v>16.914640157656358</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10910.422999999999</v>
      </c>
      <c r="C16" s="21">
        <f t="shared" ca="1" si="1"/>
        <v>0</v>
      </c>
      <c r="D16" s="21">
        <f t="shared" ca="1" si="1"/>
        <v>10217.986790000003</v>
      </c>
      <c r="E16" s="21">
        <f t="shared" si="1"/>
        <v>103.82127233222759</v>
      </c>
      <c r="F16" s="21">
        <f t="shared" ca="1" si="1"/>
        <v>1580.4443862317219</v>
      </c>
      <c r="G16" s="21">
        <f t="shared" si="1"/>
        <v>0</v>
      </c>
      <c r="H16" s="21">
        <f t="shared" si="1"/>
        <v>0</v>
      </c>
      <c r="I16" s="21">
        <f t="shared" si="1"/>
        <v>0</v>
      </c>
      <c r="J16" s="21">
        <f t="shared" si="1"/>
        <v>0</v>
      </c>
      <c r="K16" s="21">
        <f t="shared" si="1"/>
        <v>0</v>
      </c>
      <c r="L16" s="21">
        <f t="shared" ca="1" si="1"/>
        <v>0</v>
      </c>
      <c r="M16" s="21">
        <f t="shared" si="1"/>
        <v>0</v>
      </c>
      <c r="N16" s="21">
        <f t="shared" ca="1" si="1"/>
        <v>1204.6010970649336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0.19796781585087958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2159.912611319201</v>
      </c>
      <c r="C20" s="23">
        <f t="shared" ref="C20:P20" ca="1" si="2">C16*C18</f>
        <v>0</v>
      </c>
      <c r="D20" s="23">
        <f t="shared" ca="1" si="2"/>
        <v>2064.0333315800008</v>
      </c>
      <c r="E20" s="23">
        <f t="shared" si="2"/>
        <v>23.567428819415664</v>
      </c>
      <c r="F20" s="23">
        <f t="shared" ca="1" si="2"/>
        <v>421.97865112386978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2011.346</v>
      </c>
      <c r="C26" s="39">
        <f>IF(ISERROR(B26*3.6/1000000/'E Balans VL '!Z12*100),0,B26*3.6/1000000/'E Balans VL '!Z12*100)</f>
        <v>4.4181540238830024E-2</v>
      </c>
      <c r="D26" s="237" t="s">
        <v>692</v>
      </c>
      <c r="F26" s="6"/>
    </row>
    <row r="27" spans="1:18">
      <c r="A27" s="231" t="s">
        <v>53</v>
      </c>
      <c r="B27" s="33">
        <f>IF(ISERROR(TER_horeca_ele_kWh/1000),0,TER_horeca_ele_kWh/1000)</f>
        <v>614.15599999999995</v>
      </c>
      <c r="C27" s="39">
        <f>IF(ISERROR(B27*3.6/1000000/'E Balans VL '!Z9*100),0,B27*3.6/1000000/'E Balans VL '!Z9*100)</f>
        <v>4.9353556579315193E-2</v>
      </c>
      <c r="D27" s="237" t="s">
        <v>692</v>
      </c>
      <c r="F27" s="6"/>
    </row>
    <row r="28" spans="1:18">
      <c r="A28" s="171" t="s">
        <v>52</v>
      </c>
      <c r="B28" s="33">
        <f>IF(ISERROR(TER_handel_ele_kWh/1000),0,TER_handel_ele_kWh/1000)</f>
        <v>6015.1959999999999</v>
      </c>
      <c r="C28" s="39">
        <f>IF(ISERROR(B28*3.6/1000000/'E Balans VL '!Z13*100),0,B28*3.6/1000000/'E Balans VL '!Z13*100)</f>
        <v>0.17786514341584042</v>
      </c>
      <c r="D28" s="237" t="s">
        <v>692</v>
      </c>
      <c r="F28" s="6"/>
    </row>
    <row r="29" spans="1:18">
      <c r="A29" s="231" t="s">
        <v>51</v>
      </c>
      <c r="B29" s="33">
        <f>IF(ISERROR(TER_gezond_ele_kWh/1000),0,TER_gezond_ele_kWh/1000)</f>
        <v>488.99900000000002</v>
      </c>
      <c r="C29" s="39">
        <f>IF(ISERROR(B29*3.6/1000000/'E Balans VL '!Z10*100),0,B29*3.6/1000000/'E Balans VL '!Z10*100)</f>
        <v>5.5097562458702579E-2</v>
      </c>
      <c r="D29" s="237" t="s">
        <v>692</v>
      </c>
      <c r="F29" s="6"/>
    </row>
    <row r="30" spans="1:18">
      <c r="A30" s="231" t="s">
        <v>50</v>
      </c>
      <c r="B30" s="33">
        <f>IF(ISERROR(TER_ander_ele_kWh/1000),0,TER_ander_ele_kWh/1000)</f>
        <v>1582.3989999999999</v>
      </c>
      <c r="C30" s="39">
        <f>IF(ISERROR(B30*3.6/1000000/'E Balans VL '!Z14*100),0,B30*3.6/1000000/'E Balans VL '!Z14*100)</f>
        <v>0.11967413138109399</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198.327</v>
      </c>
      <c r="C32" s="39">
        <f>IF(ISERROR(B32*3.6/1000000/'E Balans VL '!Z8*100),0,B32*3.6/1000000/'E Balans VL '!Z8*100)</f>
        <v>1.6707883031769498E-3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3322.3989999999994</v>
      </c>
      <c r="C5" s="17">
        <f>IF(ISERROR('Eigen informatie GS &amp; warmtenet'!B59),0,'Eigen informatie GS &amp; warmtenet'!B59)</f>
        <v>0</v>
      </c>
      <c r="D5" s="30">
        <f>SUM(D6:D15)</f>
        <v>2706.069454</v>
      </c>
      <c r="E5" s="17">
        <f>SUM(E6:E15)</f>
        <v>387.26042165593111</v>
      </c>
      <c r="F5" s="17">
        <f>SUM(F6:F15)</f>
        <v>1721.0632215857036</v>
      </c>
      <c r="G5" s="18"/>
      <c r="H5" s="17"/>
      <c r="I5" s="17"/>
      <c r="J5" s="17">
        <f>SUM(J6:J15)</f>
        <v>13.081603741315117</v>
      </c>
      <c r="K5" s="17"/>
      <c r="L5" s="17"/>
      <c r="M5" s="17"/>
      <c r="N5" s="17">
        <f>SUM(N6:N15)</f>
        <v>811.00910802350893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195.226</v>
      </c>
      <c r="C8" s="33"/>
      <c r="D8" s="37">
        <f>IF( ISERROR(IND_metaal_Gas_kWH/1000),0,IND_metaal_Gas_kWH/1000)*0.902</f>
        <v>132.48756400000002</v>
      </c>
      <c r="E8" s="33">
        <f>C30*'E Balans VL '!I18/100/3.6*1000000</f>
        <v>4.8858235036382407</v>
      </c>
      <c r="F8" s="33">
        <f>C30*'E Balans VL '!L18/100/3.6*1000000+C30*'E Balans VL '!N18/100/3.6*1000000</f>
        <v>61.184799504065907</v>
      </c>
      <c r="G8" s="34"/>
      <c r="H8" s="33"/>
      <c r="I8" s="33"/>
      <c r="J8" s="40">
        <f>C30*'E Balans VL '!D18/100/3.6*1000000+C30*'E Balans VL '!E18/100/3.6*1000000</f>
        <v>0</v>
      </c>
      <c r="K8" s="33"/>
      <c r="L8" s="33"/>
      <c r="M8" s="33"/>
      <c r="N8" s="33">
        <f>C30*'E Balans VL '!Y18/100/3.6*1000000</f>
        <v>4.904583775650714</v>
      </c>
      <c r="O8" s="33"/>
      <c r="P8" s="33"/>
      <c r="R8" s="32"/>
    </row>
    <row r="9" spans="1:18">
      <c r="A9" s="6" t="s">
        <v>33</v>
      </c>
      <c r="B9" s="37">
        <f t="shared" si="0"/>
        <v>1038.8309999999999</v>
      </c>
      <c r="C9" s="33"/>
      <c r="D9" s="37">
        <f>IF( ISERROR(IND_andere_gas_kWh/1000),0,IND_andere_gas_kWh/1000)*0.902</f>
        <v>1245.1433500000001</v>
      </c>
      <c r="E9" s="33">
        <f>C31*'E Balans VL '!I19/100/3.6*1000000</f>
        <v>285.63591728878203</v>
      </c>
      <c r="F9" s="33">
        <f>C31*'E Balans VL '!L19/100/3.6*1000000+C31*'E Balans VL '!N19/100/3.6*1000000</f>
        <v>818.77959757288636</v>
      </c>
      <c r="G9" s="34"/>
      <c r="H9" s="33"/>
      <c r="I9" s="33"/>
      <c r="J9" s="40">
        <f>C31*'E Balans VL '!D19/100/3.6*1000000+C31*'E Balans VL '!E19/100/3.6*1000000</f>
        <v>0</v>
      </c>
      <c r="K9" s="33"/>
      <c r="L9" s="33"/>
      <c r="M9" s="33"/>
      <c r="N9" s="33">
        <f>C31*'E Balans VL '!Y19/100/3.6*1000000</f>
        <v>336.29701524986854</v>
      </c>
      <c r="O9" s="33"/>
      <c r="P9" s="33"/>
      <c r="R9" s="32"/>
    </row>
    <row r="10" spans="1:18">
      <c r="A10" s="6" t="s">
        <v>41</v>
      </c>
      <c r="B10" s="37">
        <f t="shared" si="0"/>
        <v>221.096</v>
      </c>
      <c r="C10" s="33"/>
      <c r="D10" s="37">
        <f>IF( ISERROR(IND_voed_gas_kWh/1000),0,IND_voed_gas_kWh/1000)*0.902</f>
        <v>517.70921399999997</v>
      </c>
      <c r="E10" s="33">
        <f>C32*'E Balans VL '!I20/100/3.6*1000000</f>
        <v>2.253951917518592</v>
      </c>
      <c r="F10" s="33">
        <f>C32*'E Balans VL '!L20/100/3.6*1000000+C32*'E Balans VL '!N20/100/3.6*1000000</f>
        <v>417.64896117800515</v>
      </c>
      <c r="G10" s="34"/>
      <c r="H10" s="33"/>
      <c r="I10" s="33"/>
      <c r="J10" s="40">
        <f>C32*'E Balans VL '!D20/100/3.6*1000000+C32*'E Balans VL '!E20/100/3.6*1000000</f>
        <v>5.291550709387252</v>
      </c>
      <c r="K10" s="33"/>
      <c r="L10" s="33"/>
      <c r="M10" s="33"/>
      <c r="N10" s="33">
        <f>C32*'E Balans VL '!Y20/100/3.6*1000000</f>
        <v>116.54305913632894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10.407</v>
      </c>
      <c r="C13" s="33"/>
      <c r="D13" s="37">
        <f>IF( ISERROR(IND_papier_gas_kWh/1000),0,IND_papier_gas_kWh/1000)*0.902</f>
        <v>83.591948000000002</v>
      </c>
      <c r="E13" s="33">
        <f>C35*'E Balans VL '!I23/100/3.6*1000000</f>
        <v>2.1553599455585166E-2</v>
      </c>
      <c r="F13" s="33">
        <f>C35*'E Balans VL '!L23/100/3.6*1000000+C35*'E Balans VL '!N23/100/3.6*1000000</f>
        <v>0.20639312083471739</v>
      </c>
      <c r="G13" s="34"/>
      <c r="H13" s="33"/>
      <c r="I13" s="33"/>
      <c r="J13" s="40">
        <f>C35*'E Balans VL '!D23/100/3.6*1000000+C35*'E Balans VL '!E23/100/3.6*1000000</f>
        <v>0</v>
      </c>
      <c r="K13" s="33"/>
      <c r="L13" s="33"/>
      <c r="M13" s="33"/>
      <c r="N13" s="33">
        <f>C35*'E Balans VL '!Y23/100/3.6*1000000</f>
        <v>4.3943335703961077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1856.8389999999999</v>
      </c>
      <c r="C15" s="33"/>
      <c r="D15" s="37">
        <f>IF( ISERROR(IND_rest_gas_kWh/1000),0,IND_rest_gas_kWh/1000)*0.902</f>
        <v>727.13737800000001</v>
      </c>
      <c r="E15" s="33">
        <f>C37*'E Balans VL '!I15/100/3.6*1000000</f>
        <v>94.463175346536715</v>
      </c>
      <c r="F15" s="33">
        <f>C37*'E Balans VL '!L15/100/3.6*1000000+C37*'E Balans VL '!N15/100/3.6*1000000</f>
        <v>423.24347020991138</v>
      </c>
      <c r="G15" s="34"/>
      <c r="H15" s="33"/>
      <c r="I15" s="33"/>
      <c r="J15" s="40">
        <f>C37*'E Balans VL '!D15/100/3.6*1000000+C37*'E Balans VL '!E15/100/3.6*1000000</f>
        <v>7.790053031927866</v>
      </c>
      <c r="K15" s="33"/>
      <c r="L15" s="33"/>
      <c r="M15" s="33"/>
      <c r="N15" s="33">
        <f>C37*'E Balans VL '!Y15/100/3.6*1000000</f>
        <v>348.87011629126465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3322.3989999999994</v>
      </c>
      <c r="C18" s="21">
        <f>C5+C16</f>
        <v>0</v>
      </c>
      <c r="D18" s="21">
        <f>MAX((D5+D16),0)</f>
        <v>2706.069454</v>
      </c>
      <c r="E18" s="21">
        <f>MAX((E5+E16),0)</f>
        <v>387.26042165593111</v>
      </c>
      <c r="F18" s="21">
        <f>MAX((F5+F16),0)</f>
        <v>1721.0632215857036</v>
      </c>
      <c r="G18" s="21"/>
      <c r="H18" s="21"/>
      <c r="I18" s="21"/>
      <c r="J18" s="21">
        <f>MAX((J5+J16),0)</f>
        <v>13.081603741315117</v>
      </c>
      <c r="K18" s="21"/>
      <c r="L18" s="21">
        <f>MAX((L5+L16),0)</f>
        <v>0</v>
      </c>
      <c r="M18" s="21"/>
      <c r="N18" s="21">
        <f>MAX((N5+N16),0)</f>
        <v>811.00910802350893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0.19796781585087958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657.72807341514635</v>
      </c>
      <c r="C22" s="23">
        <f ca="1">C18*C20</f>
        <v>0</v>
      </c>
      <c r="D22" s="23">
        <f>D18*D20</f>
        <v>546.62602970800003</v>
      </c>
      <c r="E22" s="23">
        <f>E18*E20</f>
        <v>87.908115715896372</v>
      </c>
      <c r="F22" s="23">
        <f>F18*F20</f>
        <v>459.5238801633829</v>
      </c>
      <c r="G22" s="23"/>
      <c r="H22" s="23"/>
      <c r="I22" s="23"/>
      <c r="J22" s="23">
        <f>J18*J20</f>
        <v>4.6308877244255511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195.226</v>
      </c>
      <c r="C30" s="39">
        <f>IF(ISERROR(B30*3.6/1000000/'E Balans VL '!Z18*100),0,B30*3.6/1000000/'E Balans VL '!Z18*100)</f>
        <v>2.7325134021676471E-2</v>
      </c>
      <c r="D30" s="237" t="s">
        <v>692</v>
      </c>
    </row>
    <row r="31" spans="1:18">
      <c r="A31" s="6" t="s">
        <v>33</v>
      </c>
      <c r="B31" s="37">
        <f>IF( ISERROR(IND_ander_ele_kWh/1000),0,IND_ander_ele_kWh/1000)</f>
        <v>1038.8309999999999</v>
      </c>
      <c r="C31" s="39">
        <f>IF(ISERROR(B31*3.6/1000000/'E Balans VL '!Z19*100),0,B31*3.6/1000000/'E Balans VL '!Z19*100)</f>
        <v>4.5469464347669096E-2</v>
      </c>
      <c r="D31" s="237" t="s">
        <v>692</v>
      </c>
    </row>
    <row r="32" spans="1:18">
      <c r="A32" s="171" t="s">
        <v>41</v>
      </c>
      <c r="B32" s="37">
        <f>IF( ISERROR(IND_voed_ele_kWh/1000),0,IND_voed_ele_kWh/1000)</f>
        <v>221.096</v>
      </c>
      <c r="C32" s="39">
        <f>IF(ISERROR(B32*3.6/1000000/'E Balans VL '!Z20*100),0,B32*3.6/1000000/'E Balans VL '!Z20*100)</f>
        <v>5.4736027363999316E-2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10.407</v>
      </c>
      <c r="C35" s="39">
        <f>IF(ISERROR(B35*3.6/1000000/'E Balans VL '!Z22*100),0,B35*3.6/1000000/'E Balans VL '!Z22*100)</f>
        <v>2.9530820172189704E-4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1856.8389999999999</v>
      </c>
      <c r="C37" s="39">
        <f>IF(ISERROR(B37*3.6/1000000/'E Balans VL '!Z15*100),0,B37*3.6/1000000/'E Balans VL '!Z15*100)</f>
        <v>1.376814328071062E-2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14.333</v>
      </c>
      <c r="C5" s="17">
        <f>'Eigen informatie GS &amp; warmtenet'!B60</f>
        <v>0</v>
      </c>
      <c r="D5" s="30">
        <f>IF(ISERROR(SUM(LB_lb_gas_kWh,LB_rest_gas_kWh,onbekend_gas_kWh)/1000),0,SUM(LB_lb_gas_kWh,LB_rest_gas_kWh,onbekend_gas_kWh)/1000)*0.902</f>
        <v>17.753163999999998</v>
      </c>
      <c r="E5" s="17">
        <f>B17*'E Balans VL '!I25/3.6*1000000/100</f>
        <v>0.13275824921222681</v>
      </c>
      <c r="F5" s="17">
        <f>B17*('E Balans VL '!L25/3.6*1000000+'E Balans VL '!N25/3.6*1000000)/100</f>
        <v>36.365551433697973</v>
      </c>
      <c r="G5" s="18"/>
      <c r="H5" s="17"/>
      <c r="I5" s="17"/>
      <c r="J5" s="17">
        <f>('E Balans VL '!D25+'E Balans VL '!E25)/3.6*1000000*landbouw!B17/100</f>
        <v>2.1974088567468488</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14.333</v>
      </c>
      <c r="C8" s="21">
        <f>C5+C6</f>
        <v>0</v>
      </c>
      <c r="D8" s="21">
        <f>MAX((D5+D6),0)</f>
        <v>17.753163999999998</v>
      </c>
      <c r="E8" s="21">
        <f>MAX((E5+E6),0)</f>
        <v>0.13275824921222681</v>
      </c>
      <c r="F8" s="21">
        <f>MAX((F5+F6),0)</f>
        <v>36.365551433697973</v>
      </c>
      <c r="G8" s="21"/>
      <c r="H8" s="21"/>
      <c r="I8" s="21"/>
      <c r="J8" s="21">
        <f>MAX((J5+J6),0)</f>
        <v>2.1974088567468488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0.19796781585087958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2.8374727045906569</v>
      </c>
      <c r="C12" s="23">
        <f ca="1">C8*C10</f>
        <v>0</v>
      </c>
      <c r="D12" s="23">
        <f>D8*D10</f>
        <v>3.5861391279999997</v>
      </c>
      <c r="E12" s="23">
        <f>E8*E10</f>
        <v>3.0136122571175487E-2</v>
      </c>
      <c r="F12" s="23">
        <f>F8*F10</f>
        <v>9.7096022327973603</v>
      </c>
      <c r="G12" s="23"/>
      <c r="H12" s="23"/>
      <c r="I12" s="23"/>
      <c r="J12" s="23">
        <f>J8*J10</f>
        <v>0.77788273528838447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2.0378486878690708E-3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8.2963590786813253</v>
      </c>
      <c r="C26" s="247">
        <f>B26*'GWP N2O_CH4'!B5</f>
        <v>174.22354065230783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0.56289356672738333</v>
      </c>
      <c r="C27" s="247">
        <f>B27*'GWP N2O_CH4'!B5</f>
        <v>11.82076490127505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0.13162197696426328</v>
      </c>
      <c r="C28" s="247">
        <f>B28*'GWP N2O_CH4'!B4</f>
        <v>40.802812858921619</v>
      </c>
      <c r="D28" s="50"/>
    </row>
    <row r="29" spans="1:4">
      <c r="A29" s="41" t="s">
        <v>277</v>
      </c>
      <c r="B29" s="247">
        <f>B34*'ha_N2O bodem landbouw'!B4</f>
        <v>0.53620275895473968</v>
      </c>
      <c r="C29" s="247">
        <f>B29*'GWP N2O_CH4'!B4</f>
        <v>166.22285527596929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1.2026083238312429E-4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1.558896707688564E-5</v>
      </c>
      <c r="C5" s="464" t="s">
        <v>211</v>
      </c>
      <c r="D5" s="449">
        <f>SUM(D6:D11)</f>
        <v>3.8462193324182596E-5</v>
      </c>
      <c r="E5" s="449">
        <f>SUM(E6:E11)</f>
        <v>2.4766647511614376E-4</v>
      </c>
      <c r="F5" s="462" t="s">
        <v>211</v>
      </c>
      <c r="G5" s="449">
        <f>SUM(G6:G11)</f>
        <v>6.2065880041800872E-2</v>
      </c>
      <c r="H5" s="449">
        <f>SUM(H6:H11)</f>
        <v>1.459951046051779E-2</v>
      </c>
      <c r="I5" s="464" t="s">
        <v>211</v>
      </c>
      <c r="J5" s="464" t="s">
        <v>211</v>
      </c>
      <c r="K5" s="464" t="s">
        <v>211</v>
      </c>
      <c r="L5" s="464" t="s">
        <v>211</v>
      </c>
      <c r="M5" s="449">
        <f>SUM(M6:M11)</f>
        <v>4.039660474556085E-3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1.42374184932445E-5</v>
      </c>
      <c r="C6" s="450"/>
      <c r="D6" s="963">
        <f>vkm_2011_GW_PW*SUMIFS(TableVerdeelsleutelVkm[CNG],TableVerdeelsleutelVkm[Voertuigtype],"Lichte voertuigen")*SUMIFS(TableECFTransport[EnergieConsumptieFactor (PJ per km)],TableECFTransport[Index],CONCATENATE($A6,"_CNG_CNG"))</f>
        <v>3.2932716449718477E-5</v>
      </c>
      <c r="E6" s="963">
        <f>vkm_2011_GW_PW*SUMIFS(TableVerdeelsleutelVkm[LPG],TableVerdeelsleutelVkm[Voertuigtype],"Lichte voertuigen")*SUMIFS(TableECFTransport[EnergieConsumptieFactor (PJ per km)],TableECFTransport[Index],CONCATENATE($A6,"_LPG_LPG"))</f>
        <v>2.1443796201016561E-4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4.4547900137689639E-2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1.255713243895302E-2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2.9634551621332472E-3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8.2561401880663441E-3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2.8234500058283965E-6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4.7766450780597656E-4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1.3515485836411394E-6</v>
      </c>
      <c r="C8" s="450"/>
      <c r="D8" s="452">
        <f>vkm_2011_NGW_PW*SUMIFS(TableVerdeelsleutelVkm[CNG],TableVerdeelsleutelVkm[Voertuigtype],"Lichte voertuigen")*SUMIFS(TableECFTransport[EnergieConsumptieFactor (PJ per km)],TableECFTransport[Index],CONCATENATE($A8,"_CNG_CNG"))</f>
        <v>5.5294768744641189E-6</v>
      </c>
      <c r="E8" s="452">
        <f>vkm_2011_NGW_PW*SUMIFS(TableVerdeelsleutelVkm[LPG],TableVerdeelsleutelVkm[Voertuigtype],"Lichte voertuigen")*SUMIFS(TableECFTransport[EnergieConsumptieFactor (PJ per km)],TableECFTransport[Index],CONCATENATE($A8,"_LPG_LPG"))</f>
        <v>3.3228513105978144E-5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6.4529284303511663E-3</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2.0386456405870118E-3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4.3603095565332114E-4</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2.808911285693722E-3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9.0893097192850206E-7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1.6250984896353979E-4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4.3302686324682336</v>
      </c>
      <c r="C14" s="21"/>
      <c r="D14" s="21">
        <f t="shared" ref="D14:M14" si="0">((D5)*10^9/3600)+D12</f>
        <v>10.683942590050721</v>
      </c>
      <c r="E14" s="21">
        <f t="shared" si="0"/>
        <v>68.796243087817714</v>
      </c>
      <c r="F14" s="21"/>
      <c r="G14" s="21">
        <f t="shared" si="0"/>
        <v>17240.522233833577</v>
      </c>
      <c r="H14" s="21">
        <f t="shared" si="0"/>
        <v>4055.4195723660528</v>
      </c>
      <c r="I14" s="21"/>
      <c r="J14" s="21"/>
      <c r="K14" s="21"/>
      <c r="L14" s="21"/>
      <c r="M14" s="21">
        <f t="shared" si="0"/>
        <v>1122.1279095989125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0.19796781585087958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0.85725382321731136</v>
      </c>
      <c r="C18" s="23"/>
      <c r="D18" s="23">
        <f t="shared" ref="D18:M18" si="1">D14*D16</f>
        <v>2.158156403190246</v>
      </c>
      <c r="E18" s="23">
        <f t="shared" si="1"/>
        <v>15.616747180934622</v>
      </c>
      <c r="F18" s="23"/>
      <c r="G18" s="23">
        <f t="shared" si="1"/>
        <v>4603.2194364335655</v>
      </c>
      <c r="H18" s="23">
        <f t="shared" si="1"/>
        <v>1009.7994735191471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2.3646099350580051E-3</v>
      </c>
      <c r="H50" s="321">
        <f t="shared" si="2"/>
        <v>0</v>
      </c>
      <c r="I50" s="321">
        <f t="shared" si="2"/>
        <v>0</v>
      </c>
      <c r="J50" s="321">
        <f t="shared" si="2"/>
        <v>0</v>
      </c>
      <c r="K50" s="321">
        <f t="shared" si="2"/>
        <v>0</v>
      </c>
      <c r="L50" s="321">
        <f t="shared" si="2"/>
        <v>0</v>
      </c>
      <c r="M50" s="321">
        <f t="shared" si="2"/>
        <v>1.3484681138602785E-4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2.3646099350580051E-3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1.3484681138602785E-4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656.83609307166807</v>
      </c>
      <c r="H54" s="21">
        <f t="shared" si="3"/>
        <v>0</v>
      </c>
      <c r="I54" s="21">
        <f t="shared" si="3"/>
        <v>0</v>
      </c>
      <c r="J54" s="21">
        <f t="shared" si="3"/>
        <v>0</v>
      </c>
      <c r="K54" s="21">
        <f t="shared" si="3"/>
        <v>0</v>
      </c>
      <c r="L54" s="21">
        <f t="shared" si="3"/>
        <v>0</v>
      </c>
      <c r="M54" s="21">
        <f t="shared" si="3"/>
        <v>37.457447607229966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0.19796781585087958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175.37523685013539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3133.9874171786132</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3133.9874171786132</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2018-06-27T09:34:28Z</dcterms:modified>
</cp:coreProperties>
</file>