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F10"/>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J15" i="16"/>
  <c r="B8" i="9"/>
  <c r="D8" i="17"/>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N8" i="17"/>
  <c r="O22" i="14" s="1"/>
  <c r="B35" i="13"/>
  <c r="O22" i="16"/>
  <c r="P39" i="14" s="1"/>
  <c r="O18" i="16"/>
  <c r="B36" i="13"/>
  <c r="G31" i="20"/>
  <c r="H43" i="14" s="1"/>
  <c r="G12" i="22"/>
  <c r="D18" i="16"/>
  <c r="D22" s="1"/>
  <c r="E39" i="14" s="1"/>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F22" i="14"/>
  <c r="E7" i="48"/>
  <c r="E24" s="1"/>
  <c r="P41" i="14"/>
  <c r="P53" s="1"/>
  <c r="P55" s="1"/>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N25" l="1"/>
  <c r="N14"/>
  <c r="N31"/>
  <c r="F22" i="16"/>
  <c r="G39" i="14" s="1"/>
  <c r="G41" s="1"/>
  <c r="G53" s="1"/>
  <c r="G55" s="1"/>
  <c r="O69" s="1"/>
  <c r="B9" i="6" s="1"/>
  <c r="B12" s="1"/>
  <c r="E14" i="48"/>
  <c r="F8"/>
  <c r="K41" i="14"/>
  <c r="K53" s="1"/>
  <c r="K55" s="1"/>
  <c r="K15"/>
  <c r="K23" s="1"/>
  <c r="H55"/>
  <c r="E55"/>
  <c r="C78"/>
  <c r="C81" s="1"/>
  <c r="J14" i="48"/>
  <c r="J31"/>
  <c r="Q8"/>
  <c r="Q14" s="1"/>
  <c r="R19" i="14"/>
  <c r="R20" s="1"/>
  <c r="H14" i="48"/>
  <c r="G31"/>
  <c r="H26"/>
  <c r="H31" s="1"/>
  <c r="F55" i="14"/>
  <c r="O53"/>
  <c r="M53"/>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<sst xmlns="http://schemas.openxmlformats.org/spreadsheetml/2006/main" count="1950" uniqueCount="834">
  <si>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</si>
  <si>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</si>
  <si>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</si>
  <si>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</si>
  <si>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</si>
  <si>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</si>
  <si>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</si>
  <si>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</si>
  <si>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</si>
  <si>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</si>
  <si>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</si>
  <si>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</si>
  <si>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</si>
  <si>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</si>
  <si>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</si>
  <si>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</si>
  <si>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</si>
  <si>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</si>
  <si>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</si>
  <si>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</si>
  <si>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</si>
  <si>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</si>
  <si>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</si>
  <si>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</si>
  <si>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</si>
  <si>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</si>
  <si>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</si>
  <si>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</si>
  <si>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</si>
  <si>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</si>
  <si>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</si>
  <si>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</si>
  <si>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</si>
  <si>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</si>
  <si>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</si>
  <si>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</si>
  <si>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</si>
  <si>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</si>
  <si>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</si>
  <si>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</si>
  <si>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</si>
  <si>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</si>
  <si>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</si>
  <si>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</si>
  <si>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</si>
  <si>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</si>
  <si>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</si>
  <si>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</si>
  <si>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</si>
  <si>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</si>
  <si>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</si>
  <si>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</si>
  <si>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</si>
  <si>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</si>
  <si>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</si>
  <si>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</si>
  <si>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</si>
  <si>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</si>
  <si>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</si>
  <si>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</si>
  <si>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</si>
  <si>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</si>
  <si>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</si>
  <si>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</si>
  <si>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</si>
  <si>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</si>
  <si>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</si>
  <si>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</si>
  <si>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</si>
  <si>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</si>
  <si>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</si>
  <si>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</si>
  <si>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</si>
  <si>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</si>
  <si>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</si>
  <si>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</si>
  <si>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</si>
  <si>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</si>
  <si>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</si>
  <si>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</si>
  <si>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</si>
  <si>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</si>
  <si>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</si>
  <si>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</si>
  <si>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</si>
  <si>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</si>
  <si>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</si>
  <si>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</si>
  <si>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</si>
  <si>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</si>
  <si>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</si>
  <si>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</si>
  <si>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</si>
  <si>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</si>
  <si>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</si>
  <si>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</si>
  <si>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</si>
  <si>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</si>
  <si>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</si>
  <si>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</si>
  <si>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</si>
  <si>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</si>
  <si>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</si>
  <si>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</si>
  <si>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</si>
  <si>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</si>
  <si>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</si>
  <si>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</si>
  <si>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</si>
  <si>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</si>
  <si>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</si>
  <si>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</si>
  <si>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</si>
  <si>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</si>
  <si>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</si>
  <si>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</si>
  <si>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</si>
  <si>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</si>
  <si>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</si>
  <si>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</si>
  <si>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</si>
  <si>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</si>
  <si>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</si>
  <si>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</si>
  <si>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</si>
  <si>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</si>
  <si>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</si>
  <si>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</si>
  <si>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</si>
  <si>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</si>
  <si>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</si>
  <si>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</si>
  <si>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</si>
  <si>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</si>
  <si>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</si>
  <si>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</si>
  <si>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</si>
  <si>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</si>
  <si>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</si>
  <si>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</si>
  <si>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</si>
  <si>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</si>
  <si>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</si>
  <si>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</si>
  <si>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</si>
  <si>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</si>
  <si>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</si>
  <si>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</si>
  <si>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</si>
  <si>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</si>
  <si>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</si>
  <si>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</si>
  <si>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</si>
  <si>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</si>
  <si>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</si>
  <si>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</si>
  <si>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</si>
  <si>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</si>
  <si>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</si>
  <si>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</si>
  <si>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</si>
  <si>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</si>
  <si>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</si>
  <si>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</si>
  <si>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</si>
  <si>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</si>
  <si>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</si>
  <si>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</si>
  <si>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</si>
  <si>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</si>
  <si>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</si>
  <si>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</si>
  <si>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</si>
  <si>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</si>
  <si>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</si>
  <si>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</si>
  <si>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</si>
  <si>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</si>
  <si>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</si>
  <si>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</si>
  <si>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</si>
  <si>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</si>
  <si>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</si>
  <si>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</si>
  <si>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</si>
  <si>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</si>
  <si>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</si>
  <si>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</si>
  <si>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</si>
  <si>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</si>
  <si>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</si>
  <si>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</si>
  <si>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</si>
  <si>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</si>
  <si>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</si>
  <si>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</si>
  <si>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</si>
  <si>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</si>
  <si>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</si>
  <si>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</si>
  <si>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</si>
  <si>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</si>
  <si>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</si>
  <si>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</si>
  <si>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</si>
  <si>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</si>
  <si>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</si>
  <si>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</si>
  <si>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</si>
  <si>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</si>
  <si>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</si>
  <si>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</si>
  <si>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</si>
  <si>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</si>
  <si>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</si>
  <si>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</si>
  <si>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</si>
  <si>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</si>
  <si>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</si>
  <si>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</si>
  <si>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</si>
  <si>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</si>
  <si>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</si>
  <si>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</si>
  <si>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</si>
  <si>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</si>
  <si>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</si>
  <si>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</si>
  <si>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</si>
  <si>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</si>
  <si>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</si>
  <si>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</si>
  <si>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</si>
  <si>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</si>
  <si>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</si>
  <si>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</si>
  <si>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</si>
  <si>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</si>
  <si>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</si>
  <si>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</si>
  <si>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</si>
  <si>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</si>
  <si>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</si>
  <si>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</si>
  <si>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</si>
  <si>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</si>
  <si>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</si>
  <si>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</si>
  <si>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</si>
  <si>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</si>
  <si>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</si>
  <si>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</si>
  <si>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</si>
  <si>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</si>
  <si>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</si>
  <si>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</si>
  <si>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</si>
  <si>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</si>
  <si>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</si>
  <si>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</si>
  <si>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</si>
  <si>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</si>
  <si>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</si>
  <si>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</si>
  <si>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</si>
  <si>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</si>
  <si>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</si>
  <si>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</si>
  <si>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</si>
  <si>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</si>
  <si>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</si>
  <si>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</si>
  <si>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</si>
  <si>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</si>
  <si>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</si>
  <si>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</si>
  <si>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</si>
  <si>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</si>
  <si>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</si>
  <si>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</si>
  <si>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</si>
  <si>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</si>
  <si>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</si>
  <si>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</si>
  <si>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</si>
  <si>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</si>
  <si>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</si>
  <si>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</si>
  <si>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</si>
  <si>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</si>
  <si>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</si>
  <si>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</si>
  <si>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</si>
  <si>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</si>
  <si>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</si>
  <si>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</si>
  <si>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</si>
  <si>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</si>
  <si>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</si>
  <si>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</si>
  <si>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</si>
  <si>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</si>
  <si>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</si>
  <si>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</si>
  <si>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</si>
  <si>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</si>
  <si>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</si>
  <si>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</si>
  <si>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</si>
  <si>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</si>
  <si>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</si>
  <si>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</si>
  <si>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</si>
  <si>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</si>
  <si>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</si>
  <si>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</si>
  <si>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</si>
  <si>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</si>
  <si>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</si>
  <si>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</si>
  <si>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</si>
  <si>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</si>
  <si>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</si>
  <si>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</si>
  <si>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</si>
  <si>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</si>
  <si>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</si>
  <si>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</si>
  <si>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</si>
  <si>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</si>
  <si>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</si>
  <si>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</si>
  <si>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</si>
  <si>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</si>
  <si>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</si>
  <si>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</si>
  <si>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</si>
  <si>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</si>
  <si>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</si>
  <si>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</si>
  <si>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</si>
  <si>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</si>
  <si>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</si>
  <si>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</si>
  <si>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</si>
  <si>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</si>
  <si>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</si>
  <si>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</si>
  <si>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</si>
  <si>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</si>
  <si>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</si>
  <si>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</si>
  <si>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</si>
  <si>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</si>
  <si>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</si>
  <si>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</si>
  <si>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</si>
  <si>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</si>
  <si>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</si>
  <si>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</si>
  <si>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</si>
  <si>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</si>
  <si>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</si>
  <si>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</si>
  <si>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</si>
  <si>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</si>
  <si>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</si>
  <si>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</si>
  <si>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</si>
  <si>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</si>
  <si>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</si>
  <si>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</si>
  <si>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</si>
  <si>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</si>
  <si>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</si>
  <si>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</si>
  <si>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</si>
  <si>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</si>
  <si>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</si>
  <si>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</si>
  <si>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</si>
  <si>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</si>
  <si>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</si>
  <si>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</si>
  <si>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</si>
  <si>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</si>
  <si>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</si>
  <si>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</si>
  <si>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</si>
  <si>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</si>
  <si>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</si>
  <si>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</si>
  <si>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</si>
  <si>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</si>
  <si>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</si>
  <si>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</si>
  <si>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</si>
  <si>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</si>
  <si>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</si>
  <si>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</si>
  <si>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</si>
  <si>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</si>
  <si>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</si>
  <si>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</si>
  <si>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</si>
  <si>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</si>
  <si>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</si>
  <si>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</si>
  <si>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</si>
  <si>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</si>
  <si>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</si>
  <si>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</si>
  <si>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</si>
  <si>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</si>
  <si>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</si>
  <si>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</si>
  <si>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</si>
  <si>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</si>
  <si>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</si>
  <si>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</si>
  <si>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</si>
  <si>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</si>
  <si>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</si>
  <si>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</si>
  <si>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</si>
  <si>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</si>
  <si>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</si>
  <si>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</si>
  <si>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</si>
  <si>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</si>
  <si>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</si>
  <si>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</si>
  <si>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</si>
  <si>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</si>
  <si>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</si>
  <si>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</si>
  <si>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</si>
  <si>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</si>
  <si>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</si>
  <si>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</si>
  <si>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</si>
  <si>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</si>
  <si>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</si>
  <si>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</si>
  <si>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</si>
  <si>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</si>
  <si>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</si>
  <si>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</si>
  <si>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</si>
  <si>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</si>
  <si>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</si>
  <si>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</si>
  <si>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</si>
  <si>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</si>
  <si>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</si>
  <si>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</si>
  <si>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</si>
  <si>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</si>
  <si>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</si>
  <si>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</si>
  <si>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</si>
  <si>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</si>
  <si>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</si>
  <si>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</si>
  <si>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</si>
  <si>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</si>
  <si>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</si>
  <si>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</si>
  <si>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</si>
  <si>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</si>
  <si>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</si>
  <si>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</si>
  <si>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</si>
  <si>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</si>
  <si>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</si>
  <si>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</si>
  <si>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</si>
  <si>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</si>
  <si>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</si>
  <si>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</si>
  <si>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</si>
  <si>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</si>
  <si>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</si>
  <si>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</si>
  <si>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</si>
  <si>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</si>
  <si>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</si>
  <si>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</si>
  <si>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</si>
  <si>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</si>
  <si>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</si>
  <si>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</si>
  <si>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</si>
  <si>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</si>
  <si>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</si>
  <si>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</si>
  <si>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</si>
  <si>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</si>
  <si>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</si>
  <si>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</si>
  <si>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</si>
  <si>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</si>
  <si>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</si>
  <si>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</si>
  <si>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</si>
  <si>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</si>
  <si>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</si>
  <si>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</si>
  <si>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</si>
  <si>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</si>
  <si>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</si>
  <si>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</si>
  <si>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</si>
  <si>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</si>
  <si>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</si>
  <si>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</si>
  <si>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</si>
  <si>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</si>
  <si>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</si>
  <si>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</si>
  <si>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</si>
  <si>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</si>
  <si>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</si>
  <si>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</si>
  <si>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</si>
  <si>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</si>
  <si>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</si>
  <si>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</si>
  <si>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</si>
  <si>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</si>
  <si>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</si>
  <si>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</si>
  <si>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</si>
  <si>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</si>
  <si>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</si>
  <si>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</si>
  <si>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</si>
  <si>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</si>
  <si>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</si>
  <si>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</si>
  <si>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</si>
  <si>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</si>
  <si>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</si>
  <si>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</si>
  <si>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</si>
  <si>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</si>
  <si>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</si>
  <si>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</si>
  <si>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</si>
  <si>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</si>
  <si>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</si>
  <si>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</si>
  <si>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</si>
  <si>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</si>
  <si>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</si>
  <si>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</si>
  <si>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</si>
  <si>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</si>
  <si>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</si>
  <si>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</si>
  <si>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</si>
  <si>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</si>
  <si>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</si>
  <si>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</si>
  <si>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</si>
  <si>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</si>
  <si>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</si>
  <si>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</si>
  <si>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</si>
  <si>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</si>
  <si>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</si>
  <si>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</si>
  <si>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</si>
  <si>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</si>
  <si>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</si>
  <si>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</si>
  <si>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</si>
  <si>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</si>
  <si>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</si>
  <si>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</si>
  <si>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</si>
  <si>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</si>
  <si>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</si>
  <si>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</si>
  <si>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</si>
  <si>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</si>
  <si>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</si>
  <si>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</si>
  <si>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</si>
  <si>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</si>
  <si>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</si>
  <si>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</si>
  <si>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</si>
  <si>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</si>
  <si>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</si>
  <si>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</si>
  <si>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</si>
  <si>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</si>
  <si>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</si>
  <si>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</si>
  <si>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</si>
  <si>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</si>
  <si>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</si>
  <si>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</si>
  <si>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</si>
  <si>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</si>
  <si>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</si>
  <si>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</si>
  <si>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</si>
  <si>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</si>
  <si>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</si>
  <si>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</si>
  <si>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</si>
  <si>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</si>
  <si>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</si>
  <si>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</si>
  <si>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</si>
  <si>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</si>
  <si>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</si>
  <si>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</si>
  <si>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</si>
  <si>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</si>
  <si>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</si>
  <si>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</si>
  <si>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</si>
  <si>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</si>
  <si>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</si>
  <si>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</si>
  <si>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</si>
  <si>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</si>
  <si>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</si>
  <si>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</si>
  <si>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</si>
  <si>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</si>
  <si>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</si>
  <si>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</si>
  <si>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</si>
  <si>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</si>
  <si>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</si>
  <si>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</si>
  <si>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</si>
  <si>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</si>
  <si>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</si>
  <si>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</si>
  <si>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</si>
  <si>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</si>
  <si>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</si>
  <si>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</si>
  <si>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</si>
  <si>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</si>
  <si>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</si>
  <si>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</si>
  <si>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</si>
  <si>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</si>
  <si>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</si>
  <si>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</si>
  <si>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</si>
  <si>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</si>
  <si>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</si>
  <si>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</si>
  <si>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</si>
  <si>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</si>
  <si>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</si>
  <si>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</si>
  <si>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</si>
  <si>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</si>
  <si>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</si>
  <si>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</si>
  <si>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</si>
  <si>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</si>
  <si>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</si>
  <si>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</si>
  <si>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</si>
  <si>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</si>
  <si>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</si>
  <si>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</si>
  <si>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</si>
  <si>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</si>
  <si>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</si>
  <si>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</si>
  <si>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</si>
  <si>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</si>
  <si>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</si>
  <si>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</si>
  <si>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</si>
  <si>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</si>
  <si>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</si>
  <si>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</si>
  <si>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</si>
  <si>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</si>
  <si>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</si>
  <si>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</si>
  <si>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</si>
  <si>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</si>
  <si>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</si>
  <si>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</si>
  <si>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</si>
  <si>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</si>
  <si>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</si>
  <si>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</si>
  <si>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</si>
  <si>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</si>
  <si>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</si>
  <si>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</si>
  <si>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</si>
  <si>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</si>
  <si>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</si>
  <si>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</si>
  <si>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</si>
  <si>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</si>
  <si>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</si>
  <si>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</si>
  <si>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</si>
  <si>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</si>
  <si>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</si>
  <si>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</si>
  <si>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</si>
  <si>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</si>
  <si>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</si>
  <si>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</si>
  <si>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</si>
  <si>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</si>
  <si>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</si>
  <si>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</si>
  <si>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</si>
  <si>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</si>
  <si>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</si>
  <si>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</si>
  <si>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</si>
  <si>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</si>
  <si>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</si>
  <si>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</si>
  <si>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</si>
  <si>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</si>
  <si>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</si>
  <si>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</si>
  <si>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</si>
  <si>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</si>
  <si>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</si>
  <si>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</si>
  <si>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</si>
  <si>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</si>
  <si>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</si>
  <si>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</si>
  <si>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</si>
  <si>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</si>
  <si>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</si>
  <si>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</si>
  <si>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</si>
  <si>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</si>
  <si>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</si>
  <si>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</si>
  <si>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</si>
  <si>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</si>
  <si>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</si>
  <si>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</si>
  <si>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</si>
  <si>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</si>
  <si>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</si>
  <si>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</si>
  <si>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</si>
  <si>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</si>
  <si>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</si>
  <si>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</si>
  <si>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</si>
  <si>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</si>
  <si>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</si>
  <si>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</si>
  <si>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</si>
  <si>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</si>
  <si>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</si>
  <si>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</si>
  <si>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</si>
  <si>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</si>
  <si>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</si>
  <si>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</si>
  <si>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</si>
  <si>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</si>
  <si>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</si>
  <si>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</si>
  <si>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</si>
  <si>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</si>
  <si>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</si>
  <si>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</si>
  <si>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</si>
  <si>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</si>
  <si>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</si>
  <si>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</si>
  <si>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</si>
  <si>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</si>
  <si>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</si>
  <si>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</si>
  <si>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</si>
  <si>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</si>
  <si>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</si>
  <si>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</si>
  <si>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</si>
  <si>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</si>
  <si>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</si>
  <si>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</si>
  <si>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</si>
  <si>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</si>
  <si>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</si>
  <si>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</si>
  <si>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</si>
  <si>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</si>
  <si>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</si>
  <si>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</si>
  <si>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</si>
  <si>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</si>
  <si>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</si>
  <si>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</si>
  <si>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</si>
  <si>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</si>
  <si>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</si>
  <si>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</si>
  <si>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</si>
  <si>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</si>
  <si>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</si>
  <si>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</si>
  <si>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</si>
  <si>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</si>
  <si>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</si>
  <si>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</si>
  <si>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</si>
  <si>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</si>
  <si>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11005</t>
  </si>
  <si>
    <t>BOOM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</si>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</sst>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101485.8456490104</c:v>
                </c:pt>
                <c:pt idx="1">
                  <c:v>54604.755138779285</c:v>
                </c:pt>
                <c:pt idx="2">
                  <c:v>985.96400000000006</c:v>
                </c:pt>
                <c:pt idx="3">
                  <c:v>4535.4166706182414</c:v>
                </c:pt>
                <c:pt idx="4">
                  <c:v>15210.570520492909</c:v>
                </c:pt>
                <c:pt idx="5">
                  <c:v>123966.14537172708</c:v>
                </c:pt>
                <c:pt idx="6">
                  <c:v>2156.9421774037269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86752"/>
        <c:axId val="176588288"/>
      </c:barChart>
      <c:catAx>
        <c:axId val="176586752"/>
        <c:scaling>
          <c:orientation val="minMax"/>
        </c:scaling>
        <c:axPos val="b"/>
        <c:numFmt formatCode="General" sourceLinked="0"/>
        <c:tickLblPos val="nextTo"/>
        <c:crossAx val="176588288"/>
        <c:crosses val="autoZero"/>
        <c:auto val="1"/>
        <c:lblAlgn val="ctr"/>
        <c:lblOffset val="100"/>
      </c:catAx>
      <c:valAx>
        <c:axId val="176588288"/>
        <c:scaling>
          <c:orientation val="minMax"/>
        </c:scaling>
        <c:axPos val="l"/>
        <c:majorGridlines/>
        <c:numFmt formatCode="#,##0" sourceLinked="1"/>
        <c:tickLblPos val="nextTo"/>
        <c:crossAx val="176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101485.8456490104</c:v>
                </c:pt>
                <c:pt idx="1">
                  <c:v>54604.755138779285</c:v>
                </c:pt>
                <c:pt idx="2">
                  <c:v>985.96400000000006</c:v>
                </c:pt>
                <c:pt idx="3">
                  <c:v>4535.4166706182414</c:v>
                </c:pt>
                <c:pt idx="4">
                  <c:v>15210.570520492909</c:v>
                </c:pt>
                <c:pt idx="5">
                  <c:v>123966.14537172708</c:v>
                </c:pt>
                <c:pt idx="6">
                  <c:v>2156.9421774037269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19754.349059627079</c:v>
                </c:pt>
                <c:pt idx="1">
                  <c:v>10778.289557498767</c:v>
                </c:pt>
                <c:pt idx="2">
                  <c:v>190.65757642900073</c:v>
                </c:pt>
                <c:pt idx="3">
                  <c:v>917.41529912152157</c:v>
                </c:pt>
                <c:pt idx="4">
                  <c:v>2939.7602891664746</c:v>
                </c:pt>
                <c:pt idx="5">
                  <c:v>31071.591195551166</c:v>
                </c:pt>
                <c:pt idx="6">
                  <c:v>544.8333061896833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007232"/>
        <c:axId val="177017216"/>
      </c:barChart>
      <c:catAx>
        <c:axId val="177007232"/>
        <c:scaling>
          <c:orientation val="minMax"/>
        </c:scaling>
        <c:axPos val="b"/>
        <c:numFmt formatCode="General" sourceLinked="0"/>
        <c:tickLblPos val="nextTo"/>
        <c:crossAx val="177017216"/>
        <c:crosses val="autoZero"/>
        <c:auto val="1"/>
        <c:lblAlgn val="ctr"/>
        <c:lblOffset val="100"/>
      </c:catAx>
      <c:valAx>
        <c:axId val="177017216"/>
        <c:scaling>
          <c:orientation val="minMax"/>
        </c:scaling>
        <c:axPos val="l"/>
        <c:majorGridlines/>
        <c:numFmt formatCode="#,##0" sourceLinked="1"/>
        <c:tickLblPos val="nextTo"/>
        <c:crossAx val="177007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19754.349059627079</c:v>
                </c:pt>
                <c:pt idx="1">
                  <c:v>10778.289557498767</c:v>
                </c:pt>
                <c:pt idx="2">
                  <c:v>190.65757642900073</c:v>
                </c:pt>
                <c:pt idx="3">
                  <c:v>917.41529912152157</c:v>
                </c:pt>
                <c:pt idx="4">
                  <c:v>2939.7602891664746</c:v>
                </c:pt>
                <c:pt idx="5">
                  <c:v>31071.591195551166</c:v>
                </c:pt>
                <c:pt idx="6">
                  <c:v>544.8333061896833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11005</v>
      </c>
      <c r="B6" s="416"/>
      <c r="C6" s="417"/>
    </row>
    <row r="7" spans="1:7" s="414" customFormat="1" ht="15.75" customHeight="1">
      <c r="A7" s="418" t="str">
        <f>txtMunicipality</f>
        <v>BOOM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7277</v>
      </c>
      <c r="C9" s="342">
        <v>7957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48</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44</v>
      </c>
      <c r="C29" s="356"/>
      <c r="D29" s="356"/>
      <c r="E29" s="356"/>
      <c r="F29" s="356"/>
    </row>
    <row r="30" spans="1:6">
      <c r="A30" s="341" t="s">
        <v>829</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20966.82</v>
      </c>
    </row>
    <row r="37" spans="1:6">
      <c r="A37" s="348" t="s">
        <v>25</v>
      </c>
      <c r="B37" s="348" t="s">
        <v>28</v>
      </c>
      <c r="C37" s="334">
        <v>0</v>
      </c>
      <c r="D37" s="334">
        <v>0</v>
      </c>
      <c r="E37" s="334">
        <v>0</v>
      </c>
      <c r="F37" s="334">
        <v>0</v>
      </c>
    </row>
    <row r="38" spans="1:6">
      <c r="A38" s="348" t="s">
        <v>25</v>
      </c>
      <c r="B38" s="348" t="s">
        <v>29</v>
      </c>
      <c r="C38" s="334">
        <v>0</v>
      </c>
      <c r="D38" s="334">
        <v>0</v>
      </c>
      <c r="E38" s="334">
        <v>3</v>
      </c>
      <c r="F38" s="334">
        <v>21494.92</v>
      </c>
    </row>
    <row r="39" spans="1:6">
      <c r="A39" s="348" t="s">
        <v>30</v>
      </c>
      <c r="B39" s="348" t="s">
        <v>31</v>
      </c>
      <c r="C39" s="334">
        <v>6110</v>
      </c>
      <c r="D39" s="334">
        <v>78720484.432064503</v>
      </c>
      <c r="E39" s="334">
        <v>7554</v>
      </c>
      <c r="F39" s="334">
        <v>26412312</v>
      </c>
    </row>
    <row r="40" spans="1:6">
      <c r="A40" s="348" t="s">
        <v>30</v>
      </c>
      <c r="B40" s="348" t="s">
        <v>29</v>
      </c>
      <c r="C40" s="334">
        <v>0</v>
      </c>
      <c r="D40" s="334">
        <v>0</v>
      </c>
      <c r="E40" s="334">
        <v>0</v>
      </c>
      <c r="F40" s="334">
        <v>0</v>
      </c>
    </row>
    <row r="41" spans="1:6">
      <c r="A41" s="348" t="s">
        <v>32</v>
      </c>
      <c r="B41" s="348" t="s">
        <v>33</v>
      </c>
      <c r="C41" s="334">
        <v>72</v>
      </c>
      <c r="D41" s="334">
        <v>1540399.8333459799</v>
      </c>
      <c r="E41" s="334">
        <v>130</v>
      </c>
      <c r="F41" s="334">
        <v>809049.8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253946.62868135501</v>
      </c>
      <c r="E44" s="334">
        <v>14</v>
      </c>
      <c r="F44" s="334">
        <v>821950.5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2739669.7962227599</v>
      </c>
      <c r="E48" s="334">
        <v>43</v>
      </c>
      <c r="F48" s="334">
        <v>4362184</v>
      </c>
    </row>
    <row r="49" spans="1:6">
      <c r="A49" s="348" t="s">
        <v>32</v>
      </c>
      <c r="B49" s="348" t="s">
        <v>40</v>
      </c>
      <c r="C49" s="334">
        <v>0</v>
      </c>
      <c r="D49" s="334">
        <v>0</v>
      </c>
      <c r="E49" s="334">
        <v>0</v>
      </c>
      <c r="F49" s="334">
        <v>0</v>
      </c>
    </row>
    <row r="50" spans="1:6">
      <c r="A50" s="348" t="s">
        <v>32</v>
      </c>
      <c r="B50" s="348" t="s">
        <v>41</v>
      </c>
      <c r="C50" s="334">
        <v>9</v>
      </c>
      <c r="D50" s="334">
        <v>397417.32639579597</v>
      </c>
      <c r="E50" s="334">
        <v>14</v>
      </c>
      <c r="F50" s="334">
        <v>375122.9</v>
      </c>
    </row>
    <row r="51" spans="1:6">
      <c r="A51" s="348" t="s">
        <v>42</v>
      </c>
      <c r="B51" s="348" t="s">
        <v>43</v>
      </c>
      <c r="C51" s="334">
        <v>0</v>
      </c>
      <c r="D51" s="334">
        <v>0</v>
      </c>
      <c r="E51" s="334">
        <v>0</v>
      </c>
      <c r="F51" s="334">
        <v>0</v>
      </c>
    </row>
    <row r="52" spans="1:6">
      <c r="A52" s="348" t="s">
        <v>42</v>
      </c>
      <c r="B52" s="348" t="s">
        <v>29</v>
      </c>
      <c r="C52" s="334">
        <v>2</v>
      </c>
      <c r="D52" s="334">
        <v>23030.4532252069</v>
      </c>
      <c r="E52" s="334">
        <v>2</v>
      </c>
      <c r="F52" s="334">
        <v>7013.1450000000004</v>
      </c>
    </row>
    <row r="53" spans="1:6">
      <c r="A53" s="348" t="s">
        <v>44</v>
      </c>
      <c r="B53" s="348" t="s">
        <v>45</v>
      </c>
      <c r="C53" s="334">
        <v>166</v>
      </c>
      <c r="D53" s="334">
        <v>4976381.6184695801</v>
      </c>
      <c r="E53" s="334">
        <v>325</v>
      </c>
      <c r="F53" s="334">
        <v>1308034</v>
      </c>
    </row>
    <row r="54" spans="1:6">
      <c r="A54" s="348" t="s">
        <v>46</v>
      </c>
      <c r="B54" s="348" t="s">
        <v>47</v>
      </c>
      <c r="C54" s="334">
        <v>0</v>
      </c>
      <c r="D54" s="334">
        <v>0</v>
      </c>
      <c r="E54" s="334">
        <v>1</v>
      </c>
      <c r="F54" s="334">
        <v>985964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2351749.3702756399</v>
      </c>
      <c r="E57" s="334">
        <v>84</v>
      </c>
      <c r="F57" s="334">
        <v>1398609</v>
      </c>
    </row>
    <row r="58" spans="1:6">
      <c r="A58" s="348" t="s">
        <v>49</v>
      </c>
      <c r="B58" s="348" t="s">
        <v>51</v>
      </c>
      <c r="C58" s="334">
        <v>26</v>
      </c>
      <c r="D58" s="334">
        <v>944331.44164012803</v>
      </c>
      <c r="E58" s="334">
        <v>44</v>
      </c>
      <c r="F58" s="334">
        <v>597021</v>
      </c>
    </row>
    <row r="59" spans="1:6">
      <c r="A59" s="348" t="s">
        <v>49</v>
      </c>
      <c r="B59" s="348" t="s">
        <v>52</v>
      </c>
      <c r="C59" s="334">
        <v>64</v>
      </c>
      <c r="D59" s="334">
        <v>3776181.8704740601</v>
      </c>
      <c r="E59" s="334">
        <v>144</v>
      </c>
      <c r="F59" s="334">
        <v>5344240</v>
      </c>
    </row>
    <row r="60" spans="1:6">
      <c r="A60" s="348" t="s">
        <v>49</v>
      </c>
      <c r="B60" s="348" t="s">
        <v>53</v>
      </c>
      <c r="C60" s="334">
        <v>74</v>
      </c>
      <c r="D60" s="334">
        <v>4832205.8366188603</v>
      </c>
      <c r="E60" s="334">
        <v>142</v>
      </c>
      <c r="F60" s="334">
        <v>2416425</v>
      </c>
    </row>
    <row r="61" spans="1:6">
      <c r="A61" s="348" t="s">
        <v>49</v>
      </c>
      <c r="B61" s="348" t="s">
        <v>54</v>
      </c>
      <c r="C61" s="334">
        <v>239</v>
      </c>
      <c r="D61" s="334">
        <v>12931591.2420839</v>
      </c>
      <c r="E61" s="334">
        <v>473</v>
      </c>
      <c r="F61" s="334">
        <v>7060566</v>
      </c>
    </row>
    <row r="62" spans="1:6">
      <c r="A62" s="348" t="s">
        <v>49</v>
      </c>
      <c r="B62" s="348" t="s">
        <v>55</v>
      </c>
      <c r="C62" s="334">
        <v>9</v>
      </c>
      <c r="D62" s="334">
        <v>1553847.1413509999</v>
      </c>
      <c r="E62" s="334">
        <v>24</v>
      </c>
      <c r="F62" s="334">
        <v>1213049</v>
      </c>
    </row>
    <row r="63" spans="1:6">
      <c r="A63" s="348" t="s">
        <v>49</v>
      </c>
      <c r="B63" s="348" t="s">
        <v>29</v>
      </c>
      <c r="C63" s="334">
        <v>96</v>
      </c>
      <c r="D63" s="334">
        <v>5123343.9189631101</v>
      </c>
      <c r="E63" s="334">
        <v>97</v>
      </c>
      <c r="F63" s="334">
        <v>3337571</v>
      </c>
    </row>
    <row r="64" spans="1:6">
      <c r="A64" s="348" t="s">
        <v>56</v>
      </c>
      <c r="B64" s="348" t="s">
        <v>57</v>
      </c>
      <c r="C64" s="334">
        <v>0</v>
      </c>
      <c r="D64" s="334">
        <v>0</v>
      </c>
      <c r="E64" s="334">
        <v>0</v>
      </c>
      <c r="F64" s="334">
        <v>0</v>
      </c>
    </row>
    <row r="65" spans="1:6">
      <c r="A65" s="348" t="s">
        <v>56</v>
      </c>
      <c r="B65" s="348" t="s">
        <v>29</v>
      </c>
      <c r="C65" s="334">
        <v>2</v>
      </c>
      <c r="D65" s="334">
        <v>136538.184131004</v>
      </c>
      <c r="E65" s="334">
        <v>1</v>
      </c>
      <c r="F65" s="334">
        <v>1053.095</v>
      </c>
    </row>
    <row r="66" spans="1:6">
      <c r="A66" s="348" t="s">
        <v>56</v>
      </c>
      <c r="B66" s="348" t="s">
        <v>58</v>
      </c>
      <c r="C66" s="334">
        <v>0</v>
      </c>
      <c r="D66" s="334">
        <v>0</v>
      </c>
      <c r="E66" s="334">
        <v>8</v>
      </c>
      <c r="F66" s="334">
        <v>290313</v>
      </c>
    </row>
    <row r="67" spans="1:6">
      <c r="A67" s="355" t="s">
        <v>56</v>
      </c>
      <c r="B67" s="355" t="s">
        <v>59</v>
      </c>
      <c r="C67" s="334">
        <v>0</v>
      </c>
      <c r="D67" s="334">
        <v>0</v>
      </c>
      <c r="E67" s="334">
        <v>0</v>
      </c>
      <c r="F67" s="334">
        <v>0</v>
      </c>
    </row>
    <row r="68" spans="1:6">
      <c r="A68" s="341" t="s">
        <v>56</v>
      </c>
      <c r="B68" s="341" t="s">
        <v>60</v>
      </c>
      <c r="C68" s="334">
        <v>4</v>
      </c>
      <c r="D68" s="334">
        <v>83716.996074338094</v>
      </c>
      <c r="E68" s="334">
        <v>4</v>
      </c>
      <c r="F68" s="334">
        <v>43064.36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78279513</v>
      </c>
      <c r="E73" s="477">
        <v>84596391.079452053</v>
      </c>
    </row>
    <row r="74" spans="1:6">
      <c r="A74" s="348" t="s">
        <v>64</v>
      </c>
      <c r="B74" s="348" t="s">
        <v>714</v>
      </c>
      <c r="C74" s="1229" t="s">
        <v>716</v>
      </c>
      <c r="D74" s="477">
        <v>7143355.7770895995</v>
      </c>
      <c r="E74" s="477">
        <v>7461205.86668735</v>
      </c>
    </row>
    <row r="75" spans="1:6">
      <c r="A75" s="348" t="s">
        <v>65</v>
      </c>
      <c r="B75" s="348" t="s">
        <v>713</v>
      </c>
      <c r="C75" s="1229" t="s">
        <v>717</v>
      </c>
      <c r="D75" s="477">
        <v>14531834</v>
      </c>
      <c r="E75" s="477">
        <v>15703896.260144724</v>
      </c>
    </row>
    <row r="76" spans="1:6">
      <c r="A76" s="348" t="s">
        <v>65</v>
      </c>
      <c r="B76" s="348" t="s">
        <v>714</v>
      </c>
      <c r="C76" s="1229" t="s">
        <v>718</v>
      </c>
      <c r="D76" s="477">
        <v>864321.77708959952</v>
      </c>
      <c r="E76" s="477">
        <v>919292.51005387306</v>
      </c>
    </row>
    <row r="77" spans="1:6">
      <c r="A77" s="348" t="s">
        <v>66</v>
      </c>
      <c r="B77" s="348" t="s">
        <v>713</v>
      </c>
      <c r="C77" s="1229" t="s">
        <v>719</v>
      </c>
      <c r="D77" s="477">
        <v>44828646</v>
      </c>
      <c r="E77" s="477">
        <v>49522253.834483288</v>
      </c>
    </row>
    <row r="78" spans="1:6">
      <c r="A78" s="341" t="s">
        <v>66</v>
      </c>
      <c r="B78" s="341" t="s">
        <v>714</v>
      </c>
      <c r="C78" s="341" t="s">
        <v>720</v>
      </c>
      <c r="D78" s="1225">
        <v>4773975</v>
      </c>
      <c r="E78" s="1225">
        <v>5337199.7854307061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576386.44582080096</v>
      </c>
      <c r="C83" s="477">
        <v>569855.93926388409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1045.1814667592698</v>
      </c>
    </row>
    <row r="92" spans="1:6">
      <c r="A92" s="341" t="s">
        <v>69</v>
      </c>
      <c r="B92" s="342">
        <v>5981.2874194057667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6</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23</v>
      </c>
    </row>
    <row r="130" spans="1:6">
      <c r="A130" s="348" t="s">
        <v>295</v>
      </c>
      <c r="B130" s="334">
        <v>1</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56205.122857443464</v>
      </c>
      <c r="C3" s="43" t="s">
        <v>170</v>
      </c>
      <c r="D3" s="43"/>
      <c r="E3" s="154"/>
      <c r="F3" s="43"/>
      <c r="G3" s="43"/>
      <c r="H3" s="43"/>
      <c r="I3" s="43"/>
      <c r="J3" s="43"/>
      <c r="K3" s="96"/>
    </row>
    <row r="4" spans="1:11">
      <c r="A4" s="384" t="s">
        <v>171</v>
      </c>
      <c r="B4" s="49">
        <f>IF(ISERROR('SEAP template'!B69),0,'SEAP template'!B69)</f>
        <v>7026.4688861650366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0.19337174220255579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985.96400000000006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985.96400000000006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0.19337174220255579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190.65757642900073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26412.312000000002</v>
      </c>
      <c r="C5" s="17">
        <f>IF(ISERROR('Eigen informatie GS &amp; warmtenet'!B57),0,'Eigen informatie GS &amp; warmtenet'!B57)</f>
        <v>0</v>
      </c>
      <c r="D5" s="30">
        <f>(SUM(HH_hh_gas_kWh,HH_rest_gas_kWh)/1000)*0.902</f>
        <v>71005.876957722183</v>
      </c>
      <c r="E5" s="17">
        <f>B46*B57</f>
        <v>447.83509244343213</v>
      </c>
      <c r="F5" s="17">
        <f>B51*B62</f>
        <v>0</v>
      </c>
      <c r="G5" s="18"/>
      <c r="H5" s="17"/>
      <c r="I5" s="17"/>
      <c r="J5" s="17">
        <f>B50*B61+C50*C61</f>
        <v>0</v>
      </c>
      <c r="K5" s="17"/>
      <c r="L5" s="17"/>
      <c r="M5" s="17"/>
      <c r="N5" s="17">
        <f>B48*B59+C48*C59</f>
        <v>2426.1534654188467</v>
      </c>
      <c r="O5" s="17">
        <f>B69*B70*B71</f>
        <v>53.153333333333336</v>
      </c>
      <c r="P5" s="17">
        <f>B77*B78*B79/1000-B77*B78*B79/1000/B80</f>
        <v>95.333333333333343</v>
      </c>
    </row>
    <row r="6" spans="1:16">
      <c r="A6" s="16" t="s">
        <v>631</v>
      </c>
      <c r="B6" s="844">
        <f>kWh_PV_kleiner_dan_10kW</f>
        <v>1045.1814667592698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27457.493466759272</v>
      </c>
      <c r="C8" s="21">
        <f>C5</f>
        <v>0</v>
      </c>
      <c r="D8" s="21">
        <f>D5</f>
        <v>71005.876957722183</v>
      </c>
      <c r="E8" s="21">
        <f>E5</f>
        <v>447.83509244343213</v>
      </c>
      <c r="F8" s="21">
        <f>F5</f>
        <v>0</v>
      </c>
      <c r="G8" s="21"/>
      <c r="H8" s="21"/>
      <c r="I8" s="21"/>
      <c r="J8" s="21">
        <f>J5</f>
        <v>0</v>
      </c>
      <c r="K8" s="21"/>
      <c r="L8" s="21">
        <f>L5</f>
        <v>0</v>
      </c>
      <c r="M8" s="21">
        <f>M5</f>
        <v>0</v>
      </c>
      <c r="N8" s="21">
        <f>N5</f>
        <v>2426.1534654188467</v>
      </c>
      <c r="O8" s="21">
        <f>O5</f>
        <v>53.153333333333336</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0.19337174220255579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5309.503348182534</v>
      </c>
      <c r="C12" s="23">
        <f ca="1">C10*C8</f>
        <v>0</v>
      </c>
      <c r="D12" s="23">
        <f>D8*D10</f>
        <v>14343.187145459882</v>
      </c>
      <c r="E12" s="23">
        <f>E10*E8</f>
        <v>101.65856598465909</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7277</v>
      </c>
      <c r="C28" s="36"/>
      <c r="D28" s="228"/>
    </row>
    <row r="29" spans="1:7" s="15" customFormat="1">
      <c r="A29" s="230" t="s">
        <v>741</v>
      </c>
      <c r="B29" s="37">
        <f>SUM(HH_hh_gas_aantal,HH_rest_gas_aantal)</f>
        <v>6110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6110</v>
      </c>
      <c r="C32" s="167">
        <f>IF(ISERROR(B32/SUM($B$32,$B$34,$B$35,$B$36,$B$38,$B$39)*100),0,B32/SUM($B$32,$B$34,$B$35,$B$36,$B$38,$B$39)*100)</f>
        <v>84.02090209020902</v>
      </c>
      <c r="D32" s="233"/>
      <c r="G32" s="15"/>
    </row>
    <row r="33" spans="1:7">
      <c r="A33" s="171" t="s">
        <v>72</v>
      </c>
      <c r="B33" s="34" t="s">
        <v>111</v>
      </c>
      <c r="C33" s="167"/>
      <c r="D33" s="233"/>
      <c r="G33" s="15"/>
    </row>
    <row r="34" spans="1:7">
      <c r="A34" s="171" t="s">
        <v>73</v>
      </c>
      <c r="B34" s="33">
        <f>IF((($B$28-$B$32-$B$39-$B$77-$B$38)*C20/100)&lt;0,0,($B$28-$B$32-$B$39-$B$77-$B$38)*C20/100)</f>
        <v>30.014760147601478</v>
      </c>
      <c r="C34" s="167">
        <f>IF(ISERROR(B34/SUM($B$32,$B$34,$B$35,$B$36,$B$38,$B$39)*100),0,B34/SUM($B$32,$B$34,$B$35,$B$36,$B$38,$B$39)*100)</f>
        <v>0.41274422645216557</v>
      </c>
      <c r="D34" s="233"/>
      <c r="G34" s="15"/>
    </row>
    <row r="35" spans="1:7">
      <c r="A35" s="171" t="s">
        <v>74</v>
      </c>
      <c r="B35" s="33">
        <f>IF((($B$28-$B$32-$B$39-$B$77-$B$38)*C21/100)&lt;0,0,($B$28-$B$32-$B$39-$B$77-$B$38)*C21/100)</f>
        <v>1089.1070110701105</v>
      </c>
      <c r="C35" s="167">
        <f>IF(ISERROR(B35/SUM($B$32,$B$34,$B$35,$B$36,$B$38,$B$39)*100),0,B35/SUM($B$32,$B$34,$B$35,$B$36,$B$38,$B$39)*100)</f>
        <v>14.97671907412143</v>
      </c>
      <c r="D35" s="233"/>
      <c r="G35" s="15"/>
    </row>
    <row r="36" spans="1:7">
      <c r="A36" s="171" t="s">
        <v>75</v>
      </c>
      <c r="B36" s="33">
        <f>IF((($B$28-$B$32-$B$39-$B$77-$B$38)*C22/100)&lt;0,0,($B$28-$B$32-$B$39-$B$77-$B$38)*C22/100)</f>
        <v>42.878228782287827</v>
      </c>
      <c r="C36" s="167">
        <f>IF(ISERROR(B36/SUM($B$32,$B$34,$B$35,$B$36,$B$38,$B$39)*100),0,B36/SUM($B$32,$B$34,$B$35,$B$36,$B$38,$B$39)*100)</f>
        <v>0.58963460921737942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6110</v>
      </c>
      <c r="C44" s="34" t="s">
        <v>111</v>
      </c>
      <c r="D44" s="174"/>
    </row>
    <row r="45" spans="1:7">
      <c r="A45" s="171" t="s">
        <v>72</v>
      </c>
      <c r="B45" s="33" t="str">
        <f t="shared" si="0"/>
        <v>-</v>
      </c>
      <c r="C45" s="34" t="s">
        <v>111</v>
      </c>
      <c r="D45" s="174"/>
    </row>
    <row r="46" spans="1:7">
      <c r="A46" s="171" t="s">
        <v>73</v>
      </c>
      <c r="B46" s="33">
        <f t="shared" si="0"/>
        <v>30.014760147601478</v>
      </c>
      <c r="C46" s="34" t="s">
        <v>111</v>
      </c>
      <c r="D46" s="174"/>
    </row>
    <row r="47" spans="1:7">
      <c r="A47" s="171" t="s">
        <v>74</v>
      </c>
      <c r="B47" s="33">
        <f t="shared" si="0"/>
        <v>1089.1070110701105</v>
      </c>
      <c r="C47" s="34" t="s">
        <v>111</v>
      </c>
      <c r="D47" s="174"/>
    </row>
    <row r="48" spans="1:7">
      <c r="A48" s="171" t="s">
        <v>75</v>
      </c>
      <c r="B48" s="33">
        <f t="shared" si="0"/>
        <v>42.878228782287827</v>
      </c>
      <c r="C48" s="33">
        <f>B48*10</f>
        <v>428.78228782287829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21367.481</v>
      </c>
      <c r="C5" s="17">
        <f>IF(ISERROR('Eigen informatie GS &amp; warmtenet'!B58),0,'Eigen informatie GS &amp; warmtenet'!B58)</f>
        <v>0</v>
      </c>
      <c r="D5" s="30">
        <f>SUM(D6:D12)</f>
        <v>28424.952240908842</v>
      </c>
      <c r="E5" s="17">
        <f>SUM(E6:E12)</f>
        <v>215.57424970135204</v>
      </c>
      <c r="F5" s="17">
        <f>SUM(F6:F12)</f>
        <v>3204.6697479511736</v>
      </c>
      <c r="G5" s="18"/>
      <c r="H5" s="17"/>
      <c r="I5" s="17"/>
      <c r="J5" s="17">
        <f>SUM(J6:J12)</f>
        <v>0</v>
      </c>
      <c r="K5" s="17"/>
      <c r="L5" s="17"/>
      <c r="M5" s="17"/>
      <c r="N5" s="17">
        <f>SUM(N6:N12)</f>
        <v>1390.5145668845955</v>
      </c>
      <c r="O5" s="17">
        <f>B38*B39*B40</f>
        <v>1.5633333333333335</v>
      </c>
      <c r="P5" s="17">
        <f>B46*B47*B48/1000-B46*B47*B48/1000/B49</f>
        <v>0</v>
      </c>
      <c r="R5" s="32"/>
    </row>
    <row r="6" spans="1:18">
      <c r="A6" s="32" t="s">
        <v>54</v>
      </c>
      <c r="B6" s="37">
        <f>B26</f>
        <v>7060.5659999999998</v>
      </c>
      <c r="C6" s="33"/>
      <c r="D6" s="37">
        <f>IF(ISERROR(TER_kantoor_gas_kWh/1000),0,TER_kantoor_gas_kWh/1000)*0.902</f>
        <v>11664.295300359678</v>
      </c>
      <c r="E6" s="33">
        <f>$C$26*'E Balans VL '!I12/100/3.6*1000000</f>
        <v>20.455495633919675</v>
      </c>
      <c r="F6" s="33">
        <f>$C$26*('E Balans VL '!L12+'E Balans VL '!N12)/100/3.6*1000000</f>
        <v>799.10051487037299</v>
      </c>
      <c r="G6" s="34"/>
      <c r="H6" s="33"/>
      <c r="I6" s="33"/>
      <c r="J6" s="33">
        <f>$C$26*('E Balans VL '!D12+'E Balans VL '!E12)/100/3.6*1000000</f>
        <v>0</v>
      </c>
      <c r="K6" s="33"/>
      <c r="L6" s="33"/>
      <c r="M6" s="33"/>
      <c r="N6" s="33">
        <f>$C$26*'E Balans VL '!Y12/100/3.6*1000000</f>
        <v>70.671063202687876</v>
      </c>
      <c r="O6" s="33"/>
      <c r="P6" s="33"/>
      <c r="R6" s="32"/>
    </row>
    <row r="7" spans="1:18">
      <c r="A7" s="32" t="s">
        <v>53</v>
      </c>
      <c r="B7" s="37">
        <f t="shared" ref="B7:B12" si="0">B27</f>
        <v>2416.4250000000002</v>
      </c>
      <c r="C7" s="33"/>
      <c r="D7" s="37">
        <f>IF(ISERROR(TER_horeca_gas_kWh/1000),0,TER_horeca_gas_kWh/1000)*0.902</f>
        <v>4358.6496646302121</v>
      </c>
      <c r="E7" s="33">
        <f>$C$27*'E Balans VL '!I9/100/3.6*1000000</f>
        <v>101.43477014198271</v>
      </c>
      <c r="F7" s="33">
        <f>$C$27*('E Balans VL '!L9+'E Balans VL '!N9)/100/3.6*1000000</f>
        <v>519.21846471171614</v>
      </c>
      <c r="G7" s="34"/>
      <c r="H7" s="33"/>
      <c r="I7" s="33"/>
      <c r="J7" s="33">
        <f>$C$27*('E Balans VL '!D9+'E Balans VL '!E9)/100/3.6*1000000</f>
        <v>0</v>
      </c>
      <c r="K7" s="33"/>
      <c r="L7" s="33"/>
      <c r="M7" s="33"/>
      <c r="N7" s="33">
        <f>$C$27*'E Balans VL '!Y9/100/3.6*1000000</f>
        <v>0.62269159009674835</v>
      </c>
      <c r="O7" s="33"/>
      <c r="P7" s="33"/>
      <c r="R7" s="32"/>
    </row>
    <row r="8" spans="1:18">
      <c r="A8" s="6" t="s">
        <v>52</v>
      </c>
      <c r="B8" s="37">
        <f t="shared" si="0"/>
        <v>5344.24</v>
      </c>
      <c r="C8" s="33"/>
      <c r="D8" s="37">
        <f>IF(ISERROR(TER_handel_gas_kWh/1000),0,TER_handel_gas_kWh/1000)*0.902</f>
        <v>3406.1160471676021</v>
      </c>
      <c r="E8" s="33">
        <f>$C$28*'E Balans VL '!I13/100/3.6*1000000</f>
        <v>57.401585484513802</v>
      </c>
      <c r="F8" s="33">
        <f>$C$28*('E Balans VL '!L13+'E Balans VL '!N13)/100/3.6*1000000</f>
        <v>691.85599982415158</v>
      </c>
      <c r="G8" s="34"/>
      <c r="H8" s="33"/>
      <c r="I8" s="33"/>
      <c r="J8" s="33">
        <f>$C$28*('E Balans VL '!D13+'E Balans VL '!E13)/100/3.6*1000000</f>
        <v>0</v>
      </c>
      <c r="K8" s="33"/>
      <c r="L8" s="33"/>
      <c r="M8" s="33"/>
      <c r="N8" s="33">
        <f>$C$28*'E Balans VL '!Y13/100/3.6*1000000</f>
        <v>43.352766688191679</v>
      </c>
      <c r="O8" s="33"/>
      <c r="P8" s="33"/>
      <c r="R8" s="32"/>
    </row>
    <row r="9" spans="1:18">
      <c r="A9" s="32" t="s">
        <v>51</v>
      </c>
      <c r="B9" s="37">
        <f t="shared" si="0"/>
        <v>597.02099999999996</v>
      </c>
      <c r="C9" s="33"/>
      <c r="D9" s="37">
        <f>IF(ISERROR(TER_gezond_gas_kWh/1000),0,TER_gezond_gas_kWh/1000)*0.902</f>
        <v>851.78696035939549</v>
      </c>
      <c r="E9" s="33">
        <f>$C$29*'E Balans VL '!I10/100/3.6*1000000</f>
        <v>0.47526733028377266</v>
      </c>
      <c r="F9" s="33">
        <f>$C$29*('E Balans VL '!L10+'E Balans VL '!N10)/100/3.6*1000000</f>
        <v>72.576530280553158</v>
      </c>
      <c r="G9" s="34"/>
      <c r="H9" s="33"/>
      <c r="I9" s="33"/>
      <c r="J9" s="33">
        <f>$C$29*('E Balans VL '!D10+'E Balans VL '!E10)/100/3.6*1000000</f>
        <v>0</v>
      </c>
      <c r="K9" s="33"/>
      <c r="L9" s="33"/>
      <c r="M9" s="33"/>
      <c r="N9" s="33">
        <f>$C$29*'E Balans VL '!Y10/100/3.6*1000000</f>
        <v>4.8225774676784248</v>
      </c>
      <c r="O9" s="33"/>
      <c r="P9" s="33"/>
      <c r="R9" s="32"/>
    </row>
    <row r="10" spans="1:18">
      <c r="A10" s="32" t="s">
        <v>50</v>
      </c>
      <c r="B10" s="37">
        <f t="shared" si="0"/>
        <v>1398.6089999999999</v>
      </c>
      <c r="C10" s="33"/>
      <c r="D10" s="37">
        <f>IF(ISERROR(TER_ander_gas_kWh/1000),0,TER_ander_gas_kWh/1000)*0.902</f>
        <v>2121.2779319886276</v>
      </c>
      <c r="E10" s="33">
        <f>$C$30*'E Balans VL '!I14/100/3.6*1000000</f>
        <v>4.7931065164985895</v>
      </c>
      <c r="F10" s="33">
        <f>$C$30*('E Balans VL '!L14+'E Balans VL '!N14)/100/3.6*1000000</f>
        <v>312.39241782494213</v>
      </c>
      <c r="G10" s="34"/>
      <c r="H10" s="33"/>
      <c r="I10" s="33"/>
      <c r="J10" s="33">
        <f>$C$30*('E Balans VL '!D14+'E Balans VL '!E14)/100/3.6*1000000</f>
        <v>0</v>
      </c>
      <c r="K10" s="33"/>
      <c r="L10" s="33"/>
      <c r="M10" s="33"/>
      <c r="N10" s="33">
        <f>$C$30*'E Balans VL '!Y14/100/3.6*1000000</f>
        <v>985.18782005161688</v>
      </c>
      <c r="O10" s="33"/>
      <c r="P10" s="33"/>
      <c r="R10" s="32"/>
    </row>
    <row r="11" spans="1:18">
      <c r="A11" s="32" t="s">
        <v>55</v>
      </c>
      <c r="B11" s="37">
        <f t="shared" si="0"/>
        <v>1213.049</v>
      </c>
      <c r="C11" s="33"/>
      <c r="D11" s="37">
        <f>IF(ISERROR(TER_onderwijs_gas_kWh/1000),0,TER_onderwijs_gas_kWh/1000)*0.902</f>
        <v>1401.570121498602</v>
      </c>
      <c r="E11" s="33">
        <f>$C$31*'E Balans VL '!I11/100/3.6*1000000</f>
        <v>0.83854341473099736</v>
      </c>
      <c r="F11" s="33">
        <f>$C$31*('E Balans VL '!L11+'E Balans VL '!N11)/100/3.6*1000000</f>
        <v>317.54099151741633</v>
      </c>
      <c r="G11" s="34"/>
      <c r="H11" s="33"/>
      <c r="I11" s="33"/>
      <c r="J11" s="33">
        <f>$C$31*('E Balans VL '!D11+'E Balans VL '!E11)/100/3.6*1000000</f>
        <v>0</v>
      </c>
      <c r="K11" s="33"/>
      <c r="L11" s="33"/>
      <c r="M11" s="33"/>
      <c r="N11" s="33">
        <f>$C$31*'E Balans VL '!Y11/100/3.6*1000000</f>
        <v>1.2074869600459512</v>
      </c>
      <c r="O11" s="33"/>
      <c r="P11" s="33"/>
      <c r="R11" s="32"/>
    </row>
    <row r="12" spans="1:18">
      <c r="A12" s="32" t="s">
        <v>260</v>
      </c>
      <c r="B12" s="37">
        <f t="shared" si="0"/>
        <v>3337.5709999999999</v>
      </c>
      <c r="C12" s="33"/>
      <c r="D12" s="37">
        <f>IF(ISERROR(TER_rest_gas_kWh/1000),0,TER_rest_gas_kWh/1000)*0.902</f>
        <v>4621.2562149047253</v>
      </c>
      <c r="E12" s="33">
        <f>$C$32*'E Balans VL '!I8/100/3.6*1000000</f>
        <v>30.175481179422494</v>
      </c>
      <c r="F12" s="33">
        <f>$C$32*('E Balans VL '!L8+'E Balans VL '!N8)/100/3.6*1000000</f>
        <v>491.98482892202128</v>
      </c>
      <c r="G12" s="34"/>
      <c r="H12" s="33"/>
      <c r="I12" s="33"/>
      <c r="J12" s="33">
        <f>$C$32*('E Balans VL '!D8+'E Balans VL '!E8)/100/3.6*1000000</f>
        <v>0</v>
      </c>
      <c r="K12" s="33"/>
      <c r="L12" s="33"/>
      <c r="M12" s="33"/>
      <c r="N12" s="33">
        <f>$C$32*'E Balans VL '!Y8/100/3.6*1000000</f>
        <v>284.650160924278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21367.481</v>
      </c>
      <c r="C16" s="21">
        <f t="shared" ca="1" si="1"/>
        <v>0</v>
      </c>
      <c r="D16" s="21">
        <f t="shared" ca="1" si="1"/>
        <v>28424.952240908842</v>
      </c>
      <c r="E16" s="21">
        <f t="shared" si="1"/>
        <v>215.57424970135204</v>
      </c>
      <c r="F16" s="21">
        <f t="shared" ca="1" si="1"/>
        <v>3204.6697479511736</v>
      </c>
      <c r="G16" s="21">
        <f t="shared" si="1"/>
        <v>0</v>
      </c>
      <c r="H16" s="21">
        <f t="shared" si="1"/>
        <v>0</v>
      </c>
      <c r="I16" s="21">
        <f t="shared" si="1"/>
        <v>0</v>
      </c>
      <c r="J16" s="21">
        <f t="shared" si="1"/>
        <v>0</v>
      </c>
      <c r="K16" s="21">
        <f t="shared" si="1"/>
        <v>0</v>
      </c>
      <c r="L16" s="21">
        <f t="shared" ca="1" si="1"/>
        <v>0</v>
      </c>
      <c r="M16" s="21">
        <f t="shared" si="1"/>
        <v>0</v>
      </c>
      <c r="N16" s="21">
        <f t="shared" ca="1" si="1"/>
        <v>1390.5145668845955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0.19337174220255579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4131.8670274500091</v>
      </c>
      <c r="C20" s="23">
        <f t="shared" ref="C20:P20" ca="1" si="2">C16*C18</f>
        <v>0</v>
      </c>
      <c r="D20" s="23">
        <f t="shared" ca="1" si="2"/>
        <v>5741.8403526635866</v>
      </c>
      <c r="E20" s="23">
        <f t="shared" si="2"/>
        <v>48.935354682206913</v>
      </c>
      <c r="F20" s="23">
        <f t="shared" ca="1" si="2"/>
        <v>855.64682270296339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7060.5659999999998</v>
      </c>
      <c r="C26" s="39">
        <f>IF(ISERROR(B26*3.6/1000000/'E Balans VL '!Z12*100),0,B26*3.6/1000000/'E Balans VL '!Z12*100)</f>
        <v>0.15509349502169945</v>
      </c>
      <c r="D26" s="237" t="s">
        <v>692</v>
      </c>
      <c r="F26" s="6"/>
    </row>
    <row r="27" spans="1:18">
      <c r="A27" s="231" t="s">
        <v>53</v>
      </c>
      <c r="B27" s="33">
        <f>IF(ISERROR(TER_horeca_ele_kWh/1000),0,TER_horeca_ele_kWh/1000)</f>
        <v>2416.4250000000002</v>
      </c>
      <c r="C27" s="39">
        <f>IF(ISERROR(B27*3.6/1000000/'E Balans VL '!Z9*100),0,B27*3.6/1000000/'E Balans VL '!Z9*100)</f>
        <v>0.19418383595889596</v>
      </c>
      <c r="D27" s="237" t="s">
        <v>692</v>
      </c>
      <c r="F27" s="6"/>
    </row>
    <row r="28" spans="1:18">
      <c r="A28" s="171" t="s">
        <v>52</v>
      </c>
      <c r="B28" s="33">
        <f>IF(ISERROR(TER_handel_ele_kWh/1000),0,TER_handel_ele_kWh/1000)</f>
        <v>5344.24</v>
      </c>
      <c r="C28" s="39">
        <f>IF(ISERROR(B28*3.6/1000000/'E Balans VL '!Z13*100),0,B28*3.6/1000000/'E Balans VL '!Z13*100)</f>
        <v>0.15802544323554393</v>
      </c>
      <c r="D28" s="237" t="s">
        <v>692</v>
      </c>
      <c r="F28" s="6"/>
    </row>
    <row r="29" spans="1:18">
      <c r="A29" s="231" t="s">
        <v>51</v>
      </c>
      <c r="B29" s="33">
        <f>IF(ISERROR(TER_gezond_ele_kWh/1000),0,TER_gezond_ele_kWh/1000)</f>
        <v>597.02099999999996</v>
      </c>
      <c r="C29" s="39">
        <f>IF(ISERROR(B29*3.6/1000000/'E Balans VL '!Z10*100),0,B29*3.6/1000000/'E Balans VL '!Z10*100)</f>
        <v>6.7268852976503146E-2</v>
      </c>
      <c r="D29" s="237" t="s">
        <v>692</v>
      </c>
      <c r="F29" s="6"/>
    </row>
    <row r="30" spans="1:18">
      <c r="A30" s="231" t="s">
        <v>50</v>
      </c>
      <c r="B30" s="33">
        <f>IF(ISERROR(TER_ander_ele_kWh/1000),0,TER_ander_ele_kWh/1000)</f>
        <v>1398.6089999999999</v>
      </c>
      <c r="C30" s="39">
        <f>IF(ISERROR(B30*3.6/1000000/'E Balans VL '!Z14*100),0,B30*3.6/1000000/'E Balans VL '!Z14*100)</f>
        <v>0.10577440785590772</v>
      </c>
      <c r="D30" s="237" t="s">
        <v>692</v>
      </c>
      <c r="F30" s="6"/>
    </row>
    <row r="31" spans="1:18">
      <c r="A31" s="231" t="s">
        <v>55</v>
      </c>
      <c r="B31" s="33">
        <f>IF(ISERROR(TER_onderwijs_ele_kWh/1000),0,TER_onderwijs_ele_kWh/1000)</f>
        <v>1213.049</v>
      </c>
      <c r="C31" s="39">
        <f>IF(ISERROR(B31*3.6/1000000/'E Balans VL '!Z11*100),0,B31*3.6/1000000/'E Balans VL '!Z11*100)</f>
        <v>0.25180081267637394</v>
      </c>
      <c r="D31" s="237" t="s">
        <v>692</v>
      </c>
    </row>
    <row r="32" spans="1:18">
      <c r="A32" s="231" t="s">
        <v>260</v>
      </c>
      <c r="B32" s="33">
        <f>IF(ISERROR(TER_rest_ele_kWh/1000),0,TER_rest_ele_kWh/1000)</f>
        <v>3337.5709999999999</v>
      </c>
      <c r="C32" s="39">
        <f>IF(ISERROR(B32*3.6/1000000/'E Balans VL '!Z8*100),0,B32*3.6/1000000/'E Balans VL '!Z8*100)</f>
        <v>2.8117072248471438E-2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6368.3072000000002</v>
      </c>
      <c r="C5" s="17">
        <f>IF(ISERROR('Eigen informatie GS &amp; warmtenet'!B59),0,'Eigen informatie GS &amp; warmtenet'!B59)</f>
        <v>0</v>
      </c>
      <c r="D5" s="30">
        <f>SUM(D6:D15)</f>
        <v>4448.1530933505937</v>
      </c>
      <c r="E5" s="17">
        <f>SUM(E6:E15)</f>
        <v>468.76809532925654</v>
      </c>
      <c r="F5" s="17">
        <f>SUM(F6:F15)</f>
        <v>2598.1860717471027</v>
      </c>
      <c r="G5" s="18"/>
      <c r="H5" s="17"/>
      <c r="I5" s="17"/>
      <c r="J5" s="17">
        <f>SUM(J6:J15)</f>
        <v>27.278721379541004</v>
      </c>
      <c r="K5" s="17"/>
      <c r="L5" s="17"/>
      <c r="M5" s="17"/>
      <c r="N5" s="17">
        <f>SUM(N6:N15)</f>
        <v>1299.8773386864145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821.95050000000003</v>
      </c>
      <c r="C8" s="33"/>
      <c r="D8" s="37">
        <f>IF( ISERROR(IND_metaal_Gas_kWH/1000),0,IND_metaal_Gas_kWH/1000)*0.902</f>
        <v>229.05985907058223</v>
      </c>
      <c r="E8" s="33">
        <f>C30*'E Balans VL '!I18/100/3.6*1000000</f>
        <v>20.570544249880673</v>
      </c>
      <c r="F8" s="33">
        <f>C30*'E Balans VL '!L18/100/3.6*1000000+C30*'E Balans VL '!N18/100/3.6*1000000</f>
        <v>257.60337529205492</v>
      </c>
      <c r="G8" s="34"/>
      <c r="H8" s="33"/>
      <c r="I8" s="33"/>
      <c r="J8" s="40">
        <f>C30*'E Balans VL '!D18/100/3.6*1000000+C30*'E Balans VL '!E18/100/3.6*1000000</f>
        <v>0</v>
      </c>
      <c r="K8" s="33"/>
      <c r="L8" s="33"/>
      <c r="M8" s="33"/>
      <c r="N8" s="33">
        <f>C30*'E Balans VL '!Y18/100/3.6*1000000</f>
        <v>20.649529707559399</v>
      </c>
      <c r="O8" s="33"/>
      <c r="P8" s="33"/>
      <c r="R8" s="32"/>
    </row>
    <row r="9" spans="1:18">
      <c r="A9" s="6" t="s">
        <v>33</v>
      </c>
      <c r="B9" s="37">
        <f t="shared" si="0"/>
        <v>809.0498</v>
      </c>
      <c r="C9" s="33"/>
      <c r="D9" s="37">
        <f>IF( ISERROR(IND_andere_gas_kWh/1000),0,IND_andere_gas_kWh/1000)*0.902</f>
        <v>1389.4406496780739</v>
      </c>
      <c r="E9" s="33">
        <f>C31*'E Balans VL '!I19/100/3.6*1000000</f>
        <v>222.45551177747456</v>
      </c>
      <c r="F9" s="33">
        <f>C31*'E Balans VL '!L19/100/3.6*1000000+C31*'E Balans VL '!N19/100/3.6*1000000</f>
        <v>637.67202717325949</v>
      </c>
      <c r="G9" s="34"/>
      <c r="H9" s="33"/>
      <c r="I9" s="33"/>
      <c r="J9" s="40">
        <f>C31*'E Balans VL '!D19/100/3.6*1000000+C31*'E Balans VL '!E19/100/3.6*1000000</f>
        <v>0</v>
      </c>
      <c r="K9" s="33"/>
      <c r="L9" s="33"/>
      <c r="M9" s="33"/>
      <c r="N9" s="33">
        <f>C31*'E Balans VL '!Y19/100/3.6*1000000</f>
        <v>261.91077560113547</v>
      </c>
      <c r="O9" s="33"/>
      <c r="P9" s="33"/>
      <c r="R9" s="32"/>
    </row>
    <row r="10" spans="1:18">
      <c r="A10" s="6" t="s">
        <v>41</v>
      </c>
      <c r="B10" s="37">
        <f t="shared" si="0"/>
        <v>375.12290000000002</v>
      </c>
      <c r="C10" s="33"/>
      <c r="D10" s="37">
        <f>IF( ISERROR(IND_voed_gas_kWh/1000),0,IND_voed_gas_kWh/1000)*0.902</f>
        <v>358.47042840900798</v>
      </c>
      <c r="E10" s="33">
        <f>C32*'E Balans VL '!I20/100/3.6*1000000</f>
        <v>3.8241713091152039</v>
      </c>
      <c r="F10" s="33">
        <f>C32*'E Balans VL '!L20/100/3.6*1000000+C32*'E Balans VL '!N20/100/3.6*1000000</f>
        <v>708.60481193273836</v>
      </c>
      <c r="G10" s="34"/>
      <c r="H10" s="33"/>
      <c r="I10" s="33"/>
      <c r="J10" s="40">
        <f>C32*'E Balans VL '!D20/100/3.6*1000000+C32*'E Balans VL '!E20/100/3.6*1000000</f>
        <v>8.977918404685763</v>
      </c>
      <c r="K10" s="33"/>
      <c r="L10" s="33"/>
      <c r="M10" s="33"/>
      <c r="N10" s="33">
        <f>C32*'E Balans VL '!Y20/100/3.6*1000000</f>
        <v>197.73297715965555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4362.1840000000002</v>
      </c>
      <c r="C15" s="33"/>
      <c r="D15" s="37">
        <f>IF( ISERROR(IND_rest_gas_kWh/1000),0,IND_rest_gas_kWh/1000)*0.902</f>
        <v>2471.1821561929296</v>
      </c>
      <c r="E15" s="33">
        <f>C37*'E Balans VL '!I15/100/3.6*1000000</f>
        <v>221.91786799278611</v>
      </c>
      <c r="F15" s="33">
        <f>C37*'E Balans VL '!L15/100/3.6*1000000+C37*'E Balans VL '!N15/100/3.6*1000000</f>
        <v>994.3058573490498</v>
      </c>
      <c r="G15" s="34"/>
      <c r="H15" s="33"/>
      <c r="I15" s="33"/>
      <c r="J15" s="40">
        <f>C37*'E Balans VL '!D15/100/3.6*1000000+C37*'E Balans VL '!E15/100/3.6*1000000</f>
        <v>18.300802974855241</v>
      </c>
      <c r="K15" s="33"/>
      <c r="L15" s="33"/>
      <c r="M15" s="33"/>
      <c r="N15" s="33">
        <f>C37*'E Balans VL '!Y15/100/3.6*1000000</f>
        <v>819.58405621806412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6368.3072000000002</v>
      </c>
      <c r="C18" s="21">
        <f>C5+C16</f>
        <v>0</v>
      </c>
      <c r="D18" s="21">
        <f>MAX((D5+D16),0)</f>
        <v>4448.1530933505937</v>
      </c>
      <c r="E18" s="21">
        <f>MAX((E5+E16),0)</f>
        <v>468.76809532925654</v>
      </c>
      <c r="F18" s="21">
        <f>MAX((F5+F16),0)</f>
        <v>2598.1860717471027</v>
      </c>
      <c r="G18" s="21"/>
      <c r="H18" s="21"/>
      <c r="I18" s="21"/>
      <c r="J18" s="21">
        <f>MAX((J5+J16),0)</f>
        <v>27.278721379541004</v>
      </c>
      <c r="K18" s="21"/>
      <c r="L18" s="21">
        <f>MAX((L5+L16),0)</f>
        <v>0</v>
      </c>
      <c r="M18" s="21"/>
      <c r="N18" s="21">
        <f>MAX((N5+N16),0)</f>
        <v>1299.8773386864145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0.19337174220255579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1231.4506581450798</v>
      </c>
      <c r="C22" s="23">
        <f ca="1">C18*C20</f>
        <v>0</v>
      </c>
      <c r="D22" s="23">
        <f>D18*D20</f>
        <v>898.52692485681996</v>
      </c>
      <c r="E22" s="23">
        <f>E18*E20</f>
        <v>106.41035763974124</v>
      </c>
      <c r="F22" s="23">
        <f>F18*F20</f>
        <v>693.71568115647642</v>
      </c>
      <c r="G22" s="23"/>
      <c r="H22" s="23"/>
      <c r="I22" s="23"/>
      <c r="J22" s="23">
        <f>J18*J20</f>
        <v>9.6566673683575157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821.95050000000003</v>
      </c>
      <c r="C30" s="39">
        <f>IF(ISERROR(B30*3.6/1000000/'E Balans VL '!Z18*100),0,B30*3.6/1000000/'E Balans VL '!Z18*100)</f>
        <v>0.11504567819698187</v>
      </c>
      <c r="D30" s="237" t="s">
        <v>692</v>
      </c>
    </row>
    <row r="31" spans="1:18">
      <c r="A31" s="6" t="s">
        <v>33</v>
      </c>
      <c r="B31" s="37">
        <f>IF( ISERROR(IND_ander_ele_kWh/1000),0,IND_ander_ele_kWh/1000)</f>
        <v>809.0498</v>
      </c>
      <c r="C31" s="39">
        <f>IF(ISERROR(B31*3.6/1000000/'E Balans VL '!Z19*100),0,B31*3.6/1000000/'E Balans VL '!Z19*100)</f>
        <v>3.541197849947568E-2</v>
      </c>
      <c r="D31" s="237" t="s">
        <v>692</v>
      </c>
    </row>
    <row r="32" spans="1:18">
      <c r="A32" s="171" t="s">
        <v>41</v>
      </c>
      <c r="B32" s="37">
        <f>IF( ISERROR(IND_voed_ele_kWh/1000),0,IND_voed_ele_kWh/1000)</f>
        <v>375.12290000000002</v>
      </c>
      <c r="C32" s="39">
        <f>IF(ISERROR(B32*3.6/1000000/'E Balans VL '!Z20*100),0,B32*3.6/1000000/'E Balans VL '!Z20*100)</f>
        <v>9.2867972822949216E-2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4362.1840000000002</v>
      </c>
      <c r="C37" s="39">
        <f>IF(ISERROR(B37*3.6/1000000/'E Balans VL '!Z15*100),0,B37*3.6/1000000/'E Balans VL '!Z15*100)</f>
        <v>3.2344847522495696E-2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7.0131450000000006</v>
      </c>
      <c r="C5" s="17">
        <f>'Eigen informatie GS &amp; warmtenet'!B60</f>
        <v>0</v>
      </c>
      <c r="D5" s="30">
        <f>IF(ISERROR(SUM(LB_lb_gas_kWh,LB_rest_gas_kWh,onbekend_gas_kWh)/1000),0,SUM(LB_lb_gas_kWh,LB_rest_gas_kWh,onbekend_gas_kWh)/1000)*0.902</f>
        <v>4509.469688668697</v>
      </c>
      <c r="E5" s="17">
        <f>B17*'E Balans VL '!I25/3.6*1000000/100</f>
        <v>6.4958686365135174E-2</v>
      </c>
      <c r="F5" s="17">
        <f>B17*('E Balans VL '!L25/3.6*1000000+'E Balans VL '!N25/3.6*1000000)/100</f>
        <v>17.79368486775147</v>
      </c>
      <c r="G5" s="18"/>
      <c r="H5" s="17"/>
      <c r="I5" s="17"/>
      <c r="J5" s="17">
        <f>('E Balans VL '!D25+'E Balans VL '!E25)/3.6*1000000*landbouw!B17/100</f>
        <v>1.0751933954266297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7.0131450000000006</v>
      </c>
      <c r="C8" s="21">
        <f>C5+C6</f>
        <v>0</v>
      </c>
      <c r="D8" s="21">
        <f>MAX((D5+D6),0)</f>
        <v>4509.469688668697</v>
      </c>
      <c r="E8" s="21">
        <f>MAX((E5+E6),0)</f>
        <v>6.4958686365135174E-2</v>
      </c>
      <c r="F8" s="21">
        <f>MAX((F5+F6),0)</f>
        <v>17.79368486775147</v>
      </c>
      <c r="G8" s="21"/>
      <c r="H8" s="21"/>
      <c r="I8" s="21"/>
      <c r="J8" s="21">
        <f>MAX((J5+J6),0)</f>
        <v>1.0751933954266297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0.19337174220255579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1.3561440669691434</v>
      </c>
      <c r="C12" s="23">
        <f ca="1">C8*C10</f>
        <v>0</v>
      </c>
      <c r="D12" s="23">
        <f>D8*D10</f>
        <v>910.91287711107691</v>
      </c>
      <c r="E12" s="23">
        <f>E8*E10</f>
        <v>1.4745621804885685E-2</v>
      </c>
      <c r="F12" s="23">
        <f>F8*F10</f>
        <v>4.7509138596896427</v>
      </c>
      <c r="G12" s="23"/>
      <c r="H12" s="23"/>
      <c r="I12" s="23"/>
      <c r="J12" s="23">
        <f>J8*J10</f>
        <v>0.38061846198102689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9.9712051462258673E-4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0.90200000000000002</v>
      </c>
      <c r="C26" s="247">
        <f>B26*'GWP N2O_CH4'!B5</f>
        <v>18.942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7.6999999999999999E-2</v>
      </c>
      <c r="C27" s="247">
        <f>B27*'GWP N2O_CH4'!B5</f>
        <v>1.617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5.2448698387180942E-3</v>
      </c>
      <c r="C28" s="247">
        <f>B28*'GWP N2O_CH4'!B4</f>
        <v>1.6259096500026091</v>
      </c>
      <c r="D28" s="50"/>
    </row>
    <row r="29" spans="1:4">
      <c r="A29" s="41" t="s">
        <v>277</v>
      </c>
      <c r="B29" s="247">
        <f>B34*'ha_N2O bodem landbouw'!B4</f>
        <v>0.31774978308429014</v>
      </c>
      <c r="C29" s="247">
        <f>B29*'GWP N2O_CH4'!B4</f>
        <v>98.502432756129949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7.1265678449258839E-5</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6.791056446310525E-5</v>
      </c>
      <c r="C5" s="464" t="s">
        <v>211</v>
      </c>
      <c r="D5" s="449">
        <f>SUM(D6:D11)</f>
        <v>1.7231497028423188E-4</v>
      </c>
      <c r="E5" s="449">
        <f>SUM(E6:E11)</f>
        <v>1.1934698807000836E-3</v>
      </c>
      <c r="F5" s="462" t="s">
        <v>211</v>
      </c>
      <c r="G5" s="449">
        <f>SUM(G6:G11)</f>
        <v>0.35598198020531785</v>
      </c>
      <c r="H5" s="449">
        <f>SUM(H6:H11)</f>
        <v>6.6231655895918909E-2</v>
      </c>
      <c r="I5" s="464" t="s">
        <v>211</v>
      </c>
      <c r="J5" s="464" t="s">
        <v>211</v>
      </c>
      <c r="K5" s="464" t="s">
        <v>211</v>
      </c>
      <c r="L5" s="464" t="s">
        <v>211</v>
      </c>
      <c r="M5" s="449">
        <f>SUM(M6:M11)</f>
        <v>2.2630791821533255E-2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3.8622538390618672E-5</v>
      </c>
      <c r="C6" s="450"/>
      <c r="D6" s="963">
        <f>vkm_2011_GW_PW*SUMIFS(TableVerdeelsleutelVkm[CNG],TableVerdeelsleutelVkm[Voertuigtype],"Lichte voertuigen")*SUMIFS(TableECFTransport[EnergieConsumptieFactor (PJ per km)],TableECFTransport[Index],CONCATENATE($A6,"_CNG_CNG"))</f>
        <v>8.9338183462833159E-5</v>
      </c>
      <c r="E6" s="963">
        <f>vkm_2011_GW_PW*SUMIFS(TableVerdeelsleutelVkm[LPG],TableVerdeelsleutelVkm[Voertuigtype],"Lichte voertuigen")*SUMIFS(TableECFTransport[EnergieConsumptieFactor (PJ per km)],TableECFTransport[Index],CONCATENATE($A6,"_LPG_LPG"))</f>
        <v>5.8171630089214792E-4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0.12084725781613771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3.406434459517136E-2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8.039109113964488E-3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6.6639255036775882E-2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2.2789414997330823E-5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3.8554586323168555E-3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7.1699004636257475E-6</v>
      </c>
      <c r="C8" s="450"/>
      <c r="D8" s="452">
        <f>vkm_2011_NGW_PW*SUMIFS(TableVerdeelsleutelVkm[CNG],TableVerdeelsleutelVkm[Voertuigtype],"Lichte voertuigen")*SUMIFS(TableECFTransport[EnergieConsumptieFactor (PJ per km)],TableECFTransport[Index],CONCATENATE($A8,"_CNG_CNG"))</f>
        <v>2.9333609820388677E-5</v>
      </c>
      <c r="E8" s="452">
        <f>vkm_2011_NGW_PW*SUMIFS(TableVerdeelsleutelVkm[LPG],TableVerdeelsleutelVkm[Voertuigtype],"Lichte voertuigen")*SUMIFS(TableECFTransport[EnergieConsumptieFactor (PJ per km)],TableECFTransport[Index],CONCATENATE($A8,"_LPG_LPG"))</f>
        <v>1.7627566955995218E-4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3.4232476068210116E-2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1.0814917421787975E-2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2.3131233230784197E-3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1.0286425798648396E-2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3.3285675651115498E-6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5.9512221387232633E-4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2.2118125608860831E-5</v>
      </c>
      <c r="C10" s="450"/>
      <c r="D10" s="452">
        <f>vkm_2011_SW_PW*SUMIFS(TableVerdeelsleutelVkm[CNG],TableVerdeelsleutelVkm[Voertuigtype],"Lichte voertuigen")*SUMIFS(TableECFTransport[EnergieConsumptieFactor (PJ per km)],TableECFTransport[Index],CONCATENATE($A10,"_CNG_CNG"))</f>
        <v>5.3643177001010028E-5</v>
      </c>
      <c r="E10" s="452">
        <f>vkm_2011_SW_PW*SUMIFS(TableVerdeelsleutelVkm[LPG],TableVerdeelsleutelVkm[Voertuigtype],"Lichte voertuigen")*SUMIFS(TableECFTransport[EnergieConsumptieFactor (PJ per km)],TableECFTransport[Index],CONCATENATE($A10,"_LPG_LPG"))</f>
        <v>4.3547791024798336E-4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8.1446872869298775E-2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2.1310601056655772E-2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5.3673599496993152E-3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4.252969261624702E-2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1.5674839741361133E-5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2.4606185886018473E-3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18.864045684195904</v>
      </c>
      <c r="C14" s="21"/>
      <c r="D14" s="21">
        <f t="shared" ref="D14:M14" si="0">((D5)*10^9/3600)+D12</f>
        <v>47.865269523397743</v>
      </c>
      <c r="E14" s="21">
        <f t="shared" si="0"/>
        <v>331.51941130557873</v>
      </c>
      <c r="F14" s="21"/>
      <c r="G14" s="21">
        <f t="shared" si="0"/>
        <v>98883.883390366071</v>
      </c>
      <c r="H14" s="21">
        <f t="shared" si="0"/>
        <v>18397.682193310808</v>
      </c>
      <c r="I14" s="21"/>
      <c r="J14" s="21"/>
      <c r="K14" s="21"/>
      <c r="L14" s="21"/>
      <c r="M14" s="21">
        <f t="shared" si="0"/>
        <v>6286.3310615370156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0.19337174220255579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3.6477733789415656</v>
      </c>
      <c r="C18" s="23"/>
      <c r="D18" s="23">
        <f t="shared" ref="D18:M18" si="1">D14*D16</f>
        <v>9.668784443726345</v>
      </c>
      <c r="E18" s="23">
        <f t="shared" si="1"/>
        <v>75.25490636636637</v>
      </c>
      <c r="F18" s="23"/>
      <c r="G18" s="23">
        <f t="shared" si="1"/>
        <v>26401.996865227742</v>
      </c>
      <c r="H18" s="23">
        <f t="shared" si="1"/>
        <v>4581.0228661343908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7.3460670497485381E-3</v>
      </c>
      <c r="H50" s="321">
        <f t="shared" si="2"/>
        <v>0</v>
      </c>
      <c r="I50" s="321">
        <f t="shared" si="2"/>
        <v>0</v>
      </c>
      <c r="J50" s="321">
        <f t="shared" si="2"/>
        <v>0</v>
      </c>
      <c r="K50" s="321">
        <f t="shared" si="2"/>
        <v>0</v>
      </c>
      <c r="L50" s="321">
        <f t="shared" si="2"/>
        <v>0</v>
      </c>
      <c r="M50" s="321">
        <f t="shared" si="2"/>
        <v>4.1892478890487929E-4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7.3460670497485381E-3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4.1892478890487929E-4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2040.574180485705</v>
      </c>
      <c r="H54" s="21">
        <f t="shared" si="3"/>
        <v>0</v>
      </c>
      <c r="I54" s="21">
        <f t="shared" si="3"/>
        <v>0</v>
      </c>
      <c r="J54" s="21">
        <f t="shared" si="3"/>
        <v>0</v>
      </c>
      <c r="K54" s="21">
        <f t="shared" si="3"/>
        <v>0</v>
      </c>
      <c r="L54" s="21">
        <f t="shared" si="3"/>
        <v>0</v>
      </c>
      <c r="M54" s="21">
        <f t="shared" si="3"/>
        <v>116.36799691802203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0.19337174220255579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544.8333061896833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7026.4688861650366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7026.4688861650366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22353.445</v>
      </c>
      <c r="D10" s="719">
        <f ca="1">tertiair!C16</f>
        <v>0</v>
      </c>
      <c r="E10" s="719">
        <f ca="1">tertiair!D16</f>
        <v>28424.952240908842</v>
      </c>
      <c r="F10" s="719">
        <f>tertiair!E16</f>
        <v>215.57424970135204</v>
      </c>
      <c r="G10" s="719">
        <f ca="1">tertiair!F16</f>
        <v>3204.6697479511736</v>
      </c>
      <c r="H10" s="719">
        <f>tertiair!G16</f>
        <v>0</v>
      </c>
      <c r="I10" s="719">
        <f>tertiair!H16</f>
        <v>0</v>
      </c>
      <c r="J10" s="719">
        <f>tertiair!I16</f>
        <v>0</v>
      </c>
      <c r="K10" s="719">
        <f>tertiair!J16</f>
        <v>0</v>
      </c>
      <c r="L10" s="719">
        <f>tertiair!K16</f>
        <v>0</v>
      </c>
      <c r="M10" s="719">
        <f ca="1">tertiair!L16</f>
        <v>0</v>
      </c>
      <c r="N10" s="719">
        <f>tertiair!M16</f>
        <v>0</v>
      </c>
      <c r="O10" s="719">
        <f ca="1">tertiair!N16</f>
        <v>1390.5145668845955</v>
      </c>
      <c r="P10" s="719">
        <f>tertiair!O16</f>
        <v>1.5633333333333335</v>
      </c>
      <c r="Q10" s="720">
        <f>tertiair!P16</f>
        <v>0</v>
      </c>
      <c r="R10" s="722">
        <f ca="1">SUM(C10:Q10)</f>
        <v>55590.719138779292</v>
      </c>
      <c r="S10" s="67"/>
    </row>
    <row r="11" spans="1:19" s="475" customFormat="1">
      <c r="A11" s="871" t="s">
        <v>225</v>
      </c>
      <c r="B11" s="876"/>
      <c r="C11" s="719">
        <f>huishoudens!B8</f>
        <v>27457.493466759272</v>
      </c>
      <c r="D11" s="719">
        <f>huishoudens!C8</f>
        <v>0</v>
      </c>
      <c r="E11" s="719">
        <f>huishoudens!D8</f>
        <v>71005.876957722183</v>
      </c>
      <c r="F11" s="719">
        <f>huishoudens!E8</f>
        <v>447.83509244343213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2426.1534654188467</v>
      </c>
      <c r="P11" s="719">
        <f>huishoudens!O8</f>
        <v>53.153333333333336</v>
      </c>
      <c r="Q11" s="720">
        <f>huishoudens!P8</f>
        <v>95.333333333333343</v>
      </c>
      <c r="R11" s="722">
        <f>SUM(C11:Q11)</f>
        <v>101485.8456490104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6368.3072000000002</v>
      </c>
      <c r="D13" s="719">
        <f>industrie!C18</f>
        <v>0</v>
      </c>
      <c r="E13" s="719">
        <f>industrie!D18</f>
        <v>4448.1530933505937</v>
      </c>
      <c r="F13" s="719">
        <f>industrie!E18</f>
        <v>468.76809532925654</v>
      </c>
      <c r="G13" s="719">
        <f>industrie!F18</f>
        <v>2598.1860717471027</v>
      </c>
      <c r="H13" s="719">
        <f>industrie!G18</f>
        <v>0</v>
      </c>
      <c r="I13" s="719">
        <f>industrie!H18</f>
        <v>0</v>
      </c>
      <c r="J13" s="719">
        <f>industrie!I18</f>
        <v>0</v>
      </c>
      <c r="K13" s="719">
        <f>industrie!J18</f>
        <v>27.278721379541004</v>
      </c>
      <c r="L13" s="719">
        <f>industrie!K18</f>
        <v>0</v>
      </c>
      <c r="M13" s="719">
        <f>industrie!L18</f>
        <v>0</v>
      </c>
      <c r="N13" s="719">
        <f>industrie!M18</f>
        <v>0</v>
      </c>
      <c r="O13" s="719">
        <f>industrie!N18</f>
        <v>1299.8773386864145</v>
      </c>
      <c r="P13" s="719">
        <f>industrie!O18</f>
        <v>0</v>
      </c>
      <c r="Q13" s="720">
        <f>industrie!P18</f>
        <v>0</v>
      </c>
      <c r="R13" s="722">
        <f>SUM(C13:Q13)</f>
        <v>15210.570520492909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56179.245666759271</v>
      </c>
      <c r="D15" s="724">
        <f t="shared" ref="D15:Q15" ca="1" si="0">SUM(D9:D14)</f>
        <v>0</v>
      </c>
      <c r="E15" s="724">
        <f t="shared" ca="1" si="0"/>
        <v>103878.98229198162</v>
      </c>
      <c r="F15" s="724">
        <f t="shared" si="0"/>
        <v>1132.1774374740407</v>
      </c>
      <c r="G15" s="724">
        <f t="shared" ca="1" si="0"/>
        <v>5802.8558196982758</v>
      </c>
      <c r="H15" s="724">
        <f t="shared" si="0"/>
        <v>0</v>
      </c>
      <c r="I15" s="724">
        <f t="shared" si="0"/>
        <v>0</v>
      </c>
      <c r="J15" s="724">
        <f t="shared" si="0"/>
        <v>0</v>
      </c>
      <c r="K15" s="724">
        <f t="shared" si="0"/>
        <v>27.278721379541004</v>
      </c>
      <c r="L15" s="724">
        <f t="shared" si="0"/>
        <v>0</v>
      </c>
      <c r="M15" s="724">
        <f t="shared" ca="1" si="0"/>
        <v>0</v>
      </c>
      <c r="N15" s="724">
        <f t="shared" si="0"/>
        <v>0</v>
      </c>
      <c r="O15" s="724">
        <f t="shared" ca="1" si="0"/>
        <v>5116.5453709898575</v>
      </c>
      <c r="P15" s="724">
        <f t="shared" si="0"/>
        <v>54.716666666666669</v>
      </c>
      <c r="Q15" s="725">
        <f t="shared" si="0"/>
        <v>95.333333333333343</v>
      </c>
      <c r="R15" s="726">
        <f ca="1">SUM(R9:R14)</f>
        <v>172287.1353082826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2040.574180485705</v>
      </c>
      <c r="I18" s="719">
        <f>transport!H54</f>
        <v>0</v>
      </c>
      <c r="J18" s="719">
        <f>transport!I54</f>
        <v>0</v>
      </c>
      <c r="K18" s="719">
        <f>transport!J54</f>
        <v>0</v>
      </c>
      <c r="L18" s="719">
        <f>transport!K54</f>
        <v>0</v>
      </c>
      <c r="M18" s="719">
        <f>transport!L54</f>
        <v>0</v>
      </c>
      <c r="N18" s="719">
        <f>transport!M54</f>
        <v>116.36799691802203</v>
      </c>
      <c r="O18" s="719">
        <f>transport!N54</f>
        <v>0</v>
      </c>
      <c r="P18" s="719">
        <f>transport!O54</f>
        <v>0</v>
      </c>
      <c r="Q18" s="720">
        <f>transport!P54</f>
        <v>0</v>
      </c>
      <c r="R18" s="722">
        <f>SUM(C18:Q18)</f>
        <v>2156.9421774037269</v>
      </c>
      <c r="S18" s="67"/>
    </row>
    <row r="19" spans="1:19" s="475" customFormat="1" ht="15" thickBot="1">
      <c r="A19" s="871" t="s">
        <v>307</v>
      </c>
      <c r="B19" s="876"/>
      <c r="C19" s="728">
        <f>transport!B14</f>
        <v>18.864045684195904</v>
      </c>
      <c r="D19" s="728">
        <f>transport!C14</f>
        <v>0</v>
      </c>
      <c r="E19" s="728">
        <f>transport!D14</f>
        <v>47.865269523397743</v>
      </c>
      <c r="F19" s="728">
        <f>transport!E14</f>
        <v>331.51941130557873</v>
      </c>
      <c r="G19" s="728">
        <f>transport!F14</f>
        <v>0</v>
      </c>
      <c r="H19" s="728">
        <f>transport!G14</f>
        <v>98883.883390366071</v>
      </c>
      <c r="I19" s="728">
        <f>transport!H14</f>
        <v>18397.682193310808</v>
      </c>
      <c r="J19" s="728">
        <f>transport!I14</f>
        <v>0</v>
      </c>
      <c r="K19" s="728">
        <f>transport!J14</f>
        <v>0</v>
      </c>
      <c r="L19" s="728">
        <f>transport!K14</f>
        <v>0</v>
      </c>
      <c r="M19" s="728">
        <f>transport!L14</f>
        <v>0</v>
      </c>
      <c r="N19" s="728">
        <f>transport!M14</f>
        <v>6286.3310615370156</v>
      </c>
      <c r="O19" s="728">
        <f>transport!N14</f>
        <v>0</v>
      </c>
      <c r="P19" s="728">
        <f>transport!O14</f>
        <v>0</v>
      </c>
      <c r="Q19" s="729">
        <f>transport!P14</f>
        <v>0</v>
      </c>
      <c r="R19" s="730">
        <f>SUM(C19:Q19)</f>
        <v>123966.14537172708</v>
      </c>
      <c r="S19" s="67"/>
    </row>
    <row r="20" spans="1:19" s="475" customFormat="1" ht="15.75" thickBot="1">
      <c r="A20" s="731" t="s">
        <v>230</v>
      </c>
      <c r="B20" s="879"/>
      <c r="C20" s="874">
        <f>SUM(C17:C19)</f>
        <v>18.864045684195904</v>
      </c>
      <c r="D20" s="732">
        <f t="shared" ref="D20:R20" si="1">SUM(D17:D19)</f>
        <v>0</v>
      </c>
      <c r="E20" s="732">
        <f t="shared" si="1"/>
        <v>47.865269523397743</v>
      </c>
      <c r="F20" s="732">
        <f t="shared" si="1"/>
        <v>331.51941130557873</v>
      </c>
      <c r="G20" s="732">
        <f t="shared" si="1"/>
        <v>0</v>
      </c>
      <c r="H20" s="732">
        <f t="shared" si="1"/>
        <v>100924.45757085178</v>
      </c>
      <c r="I20" s="732">
        <f t="shared" si="1"/>
        <v>18397.682193310808</v>
      </c>
      <c r="J20" s="732">
        <f t="shared" si="1"/>
        <v>0</v>
      </c>
      <c r="K20" s="732">
        <f t="shared" si="1"/>
        <v>0</v>
      </c>
      <c r="L20" s="732">
        <f t="shared" si="1"/>
        <v>0</v>
      </c>
      <c r="M20" s="732">
        <f t="shared" si="1"/>
        <v>0</v>
      </c>
      <c r="N20" s="732">
        <f t="shared" si="1"/>
        <v>6402.6990584550376</v>
      </c>
      <c r="O20" s="732">
        <f t="shared" si="1"/>
        <v>0</v>
      </c>
      <c r="P20" s="732">
        <f t="shared" si="1"/>
        <v>0</v>
      </c>
      <c r="Q20" s="733">
        <f t="shared" si="1"/>
        <v>0</v>
      </c>
      <c r="R20" s="734">
        <f t="shared" si="1"/>
        <v>126123.08754913081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7.0131450000000006</v>
      </c>
      <c r="D22" s="728">
        <f>+landbouw!C8</f>
        <v>0</v>
      </c>
      <c r="E22" s="728">
        <f>+landbouw!D8</f>
        <v>4509.469688668697</v>
      </c>
      <c r="F22" s="728">
        <f>+landbouw!E8</f>
        <v>6.4958686365135174E-2</v>
      </c>
      <c r="G22" s="728">
        <f>+landbouw!F8</f>
        <v>17.79368486775147</v>
      </c>
      <c r="H22" s="728">
        <f>+landbouw!G8</f>
        <v>0</v>
      </c>
      <c r="I22" s="728">
        <f>+landbouw!H8</f>
        <v>0</v>
      </c>
      <c r="J22" s="728">
        <f>+landbouw!I8</f>
        <v>0</v>
      </c>
      <c r="K22" s="728">
        <f>+landbouw!J8</f>
        <v>1.0751933954266297</v>
      </c>
      <c r="L22" s="728">
        <f>+landbouw!K8</f>
        <v>0</v>
      </c>
      <c r="M22" s="728">
        <f>+landbouw!L8</f>
        <v>0</v>
      </c>
      <c r="N22" s="728">
        <f>+landbouw!M8</f>
        <v>0</v>
      </c>
      <c r="O22" s="728">
        <f>+landbouw!N8</f>
        <v>0</v>
      </c>
      <c r="P22" s="728">
        <f>+landbouw!O8</f>
        <v>0</v>
      </c>
      <c r="Q22" s="729">
        <f>+landbouw!P8</f>
        <v>0</v>
      </c>
      <c r="R22" s="730">
        <f>SUM(C22:Q22)</f>
        <v>4535.4166706182414</v>
      </c>
      <c r="S22" s="67"/>
    </row>
    <row r="23" spans="1:19" s="475" customFormat="1" ht="17.25" thickTop="1" thickBot="1">
      <c r="A23" s="735" t="s">
        <v>116</v>
      </c>
      <c r="B23" s="865"/>
      <c r="C23" s="736">
        <f ca="1">C20+C15+C22</f>
        <v>56205.122857443464</v>
      </c>
      <c r="D23" s="736">
        <f t="shared" ref="D23:Q23" ca="1" si="2">D20+D15+D22</f>
        <v>0</v>
      </c>
      <c r="E23" s="736">
        <f t="shared" ca="1" si="2"/>
        <v>108436.31725017373</v>
      </c>
      <c r="F23" s="736">
        <f t="shared" si="2"/>
        <v>1463.7618074659845</v>
      </c>
      <c r="G23" s="736">
        <f t="shared" ca="1" si="2"/>
        <v>5820.6495045660276</v>
      </c>
      <c r="H23" s="736">
        <f t="shared" si="2"/>
        <v>100924.45757085178</v>
      </c>
      <c r="I23" s="736">
        <f t="shared" si="2"/>
        <v>18397.682193310808</v>
      </c>
      <c r="J23" s="736">
        <f t="shared" si="2"/>
        <v>0</v>
      </c>
      <c r="K23" s="736">
        <f t="shared" si="2"/>
        <v>28.353914774967635</v>
      </c>
      <c r="L23" s="736">
        <f t="shared" si="2"/>
        <v>0</v>
      </c>
      <c r="M23" s="736">
        <f t="shared" ca="1" si="2"/>
        <v>0</v>
      </c>
      <c r="N23" s="736">
        <f t="shared" si="2"/>
        <v>6402.6990584550376</v>
      </c>
      <c r="O23" s="736">
        <f t="shared" ca="1" si="2"/>
        <v>5116.5453709898575</v>
      </c>
      <c r="P23" s="736">
        <f t="shared" si="2"/>
        <v>54.716666666666669</v>
      </c>
      <c r="Q23" s="737">
        <f t="shared" si="2"/>
        <v>95.333333333333343</v>
      </c>
      <c r="R23" s="738">
        <f ca="1">R20+R15+R22</f>
        <v>302945.63952803164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4322.5246038790101</v>
      </c>
      <c r="D36" s="719">
        <f ca="1">tertiair!C20</f>
        <v>0</v>
      </c>
      <c r="E36" s="719">
        <f ca="1">tertiair!D20</f>
        <v>5741.8403526635866</v>
      </c>
      <c r="F36" s="719">
        <f>tertiair!E20</f>
        <v>48.935354682206913</v>
      </c>
      <c r="G36" s="719">
        <f ca="1">tertiair!F20</f>
        <v>855.64682270296339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10968.947133927768</v>
      </c>
    </row>
    <row r="37" spans="1:18">
      <c r="A37" s="886" t="s">
        <v>225</v>
      </c>
      <c r="B37" s="893"/>
      <c r="C37" s="719">
        <f ca="1">huishoudens!B12</f>
        <v>5309.503348182534</v>
      </c>
      <c r="D37" s="719">
        <f ca="1">huishoudens!C12</f>
        <v>0</v>
      </c>
      <c r="E37" s="719">
        <f>huishoudens!D12</f>
        <v>14343.187145459882</v>
      </c>
      <c r="F37" s="719">
        <f>huishoudens!E12</f>
        <v>101.65856598465909</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19754.349059627079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1231.4506581450798</v>
      </c>
      <c r="D39" s="719">
        <f ca="1">industrie!C22</f>
        <v>0</v>
      </c>
      <c r="E39" s="719">
        <f>industrie!D22</f>
        <v>898.52692485681996</v>
      </c>
      <c r="F39" s="719">
        <f>industrie!E22</f>
        <v>106.41035763974124</v>
      </c>
      <c r="G39" s="719">
        <f>industrie!F22</f>
        <v>693.71568115647642</v>
      </c>
      <c r="H39" s="719">
        <f>industrie!G22</f>
        <v>0</v>
      </c>
      <c r="I39" s="719">
        <f>industrie!H22</f>
        <v>0</v>
      </c>
      <c r="J39" s="719">
        <f>industrie!I22</f>
        <v>0</v>
      </c>
      <c r="K39" s="719">
        <f>industrie!J22</f>
        <v>9.6566673683575157</v>
      </c>
      <c r="L39" s="719">
        <f>industrie!K22</f>
        <v>0</v>
      </c>
      <c r="M39" s="719">
        <f>industrie!L22</f>
        <v>0</v>
      </c>
      <c r="N39" s="719">
        <f>industrie!M22</f>
        <v>0</v>
      </c>
      <c r="O39" s="719">
        <f>industrie!N22</f>
        <v>0</v>
      </c>
      <c r="P39" s="719">
        <f>industrie!O22</f>
        <v>0</v>
      </c>
      <c r="Q39" s="829">
        <f>industrie!P22</f>
        <v>0</v>
      </c>
      <c r="R39" s="919">
        <f ca="1">SUM(C39:Q39)</f>
        <v>2939.7602891664746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10863.478610206625</v>
      </c>
      <c r="D41" s="764">
        <f t="shared" ref="D41:R41" ca="1" si="4">SUM(D35:D40)</f>
        <v>0</v>
      </c>
      <c r="E41" s="764">
        <f t="shared" ca="1" si="4"/>
        <v>20983.554422980287</v>
      </c>
      <c r="F41" s="764">
        <f t="shared" si="4"/>
        <v>257.00427830660726</v>
      </c>
      <c r="G41" s="764">
        <f t="shared" ca="1" si="4"/>
        <v>1549.3625038594398</v>
      </c>
      <c r="H41" s="764">
        <f t="shared" si="4"/>
        <v>0</v>
      </c>
      <c r="I41" s="764">
        <f t="shared" si="4"/>
        <v>0</v>
      </c>
      <c r="J41" s="764">
        <f t="shared" si="4"/>
        <v>0</v>
      </c>
      <c r="K41" s="764">
        <f t="shared" si="4"/>
        <v>9.6566673683575157</v>
      </c>
      <c r="L41" s="764">
        <f t="shared" si="4"/>
        <v>0</v>
      </c>
      <c r="M41" s="764">
        <f t="shared" ca="1" si="4"/>
        <v>0</v>
      </c>
      <c r="N41" s="764">
        <f t="shared" si="4"/>
        <v>0</v>
      </c>
      <c r="O41" s="764">
        <f t="shared" ca="1" si="4"/>
        <v>0</v>
      </c>
      <c r="P41" s="764">
        <f t="shared" si="4"/>
        <v>0</v>
      </c>
      <c r="Q41" s="765">
        <f t="shared" si="4"/>
        <v>0</v>
      </c>
      <c r="R41" s="766">
        <f t="shared" ca="1" si="4"/>
        <v>33663.056482721317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544.8333061896833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544.8333061896833</v>
      </c>
    </row>
    <row r="45" spans="1:18" ht="15" thickBot="1">
      <c r="A45" s="889" t="s">
        <v>307</v>
      </c>
      <c r="B45" s="899"/>
      <c r="C45" s="728">
        <f ca="1">transport!B18</f>
        <v>3.6477733789415656</v>
      </c>
      <c r="D45" s="728">
        <f>transport!C18</f>
        <v>0</v>
      </c>
      <c r="E45" s="728">
        <f>transport!D18</f>
        <v>9.668784443726345</v>
      </c>
      <c r="F45" s="728">
        <f>transport!E18</f>
        <v>75.25490636636637</v>
      </c>
      <c r="G45" s="728">
        <f>transport!F18</f>
        <v>0</v>
      </c>
      <c r="H45" s="728">
        <f>transport!G18</f>
        <v>26401.996865227742</v>
      </c>
      <c r="I45" s="728">
        <f>transport!H18</f>
        <v>4581.0228661343908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31071.591195551166</v>
      </c>
    </row>
    <row r="46" spans="1:18" ht="15.75" thickBot="1">
      <c r="A46" s="887" t="s">
        <v>230</v>
      </c>
      <c r="B46" s="900"/>
      <c r="C46" s="764">
        <f t="shared" ref="C46:R46" ca="1" si="5">SUM(C43:C45)</f>
        <v>3.6477733789415656</v>
      </c>
      <c r="D46" s="764">
        <f t="shared" ca="1" si="5"/>
        <v>0</v>
      </c>
      <c r="E46" s="764">
        <f t="shared" si="5"/>
        <v>9.668784443726345</v>
      </c>
      <c r="F46" s="764">
        <f t="shared" si="5"/>
        <v>75.25490636636637</v>
      </c>
      <c r="G46" s="764">
        <f t="shared" si="5"/>
        <v>0</v>
      </c>
      <c r="H46" s="764">
        <f t="shared" si="5"/>
        <v>26946.830171417427</v>
      </c>
      <c r="I46" s="764">
        <f t="shared" si="5"/>
        <v>4581.0228661343908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31616.42450174085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1.3561440669691434</v>
      </c>
      <c r="D48" s="719">
        <f ca="1">+landbouw!C12</f>
        <v>0</v>
      </c>
      <c r="E48" s="719">
        <f>+landbouw!D12</f>
        <v>910.91287711107691</v>
      </c>
      <c r="F48" s="719">
        <f>+landbouw!E12</f>
        <v>1.4745621804885685E-2</v>
      </c>
      <c r="G48" s="719">
        <f>+landbouw!F12</f>
        <v>4.7509138596896427</v>
      </c>
      <c r="H48" s="719">
        <f>+landbouw!G12</f>
        <v>0</v>
      </c>
      <c r="I48" s="719">
        <f>+landbouw!H12</f>
        <v>0</v>
      </c>
      <c r="J48" s="719">
        <f>+landbouw!I12</f>
        <v>0</v>
      </c>
      <c r="K48" s="719">
        <f>+landbouw!J12</f>
        <v>0.38061846198102689</v>
      </c>
      <c r="L48" s="719">
        <f>+landbouw!K12</f>
        <v>0</v>
      </c>
      <c r="M48" s="719">
        <f>+landbouw!L12</f>
        <v>0</v>
      </c>
      <c r="N48" s="719">
        <f>+landbouw!M12</f>
        <v>0</v>
      </c>
      <c r="O48" s="719">
        <f>+landbouw!N12</f>
        <v>0</v>
      </c>
      <c r="P48" s="719">
        <f>+landbouw!O12</f>
        <v>0</v>
      </c>
      <c r="Q48" s="720">
        <f>+landbouw!P12</f>
        <v>0</v>
      </c>
      <c r="R48" s="762">
        <f ca="1">SUM(C48:Q48)</f>
        <v>917.41529912152157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10868.482527652535</v>
      </c>
      <c r="D53" s="774">
        <f t="shared" ref="D53:Q53" ca="1" si="6">D41+D46+D48</f>
        <v>0</v>
      </c>
      <c r="E53" s="774">
        <f t="shared" ca="1" si="6"/>
        <v>21904.13608453509</v>
      </c>
      <c r="F53" s="774">
        <f t="shared" si="6"/>
        <v>332.27393029477849</v>
      </c>
      <c r="G53" s="774">
        <f t="shared" ca="1" si="6"/>
        <v>1554.1134177191295</v>
      </c>
      <c r="H53" s="774">
        <f t="shared" si="6"/>
        <v>26946.830171417427</v>
      </c>
      <c r="I53" s="774">
        <f t="shared" si="6"/>
        <v>4581.0228661343908</v>
      </c>
      <c r="J53" s="774">
        <f t="shared" si="6"/>
        <v>0</v>
      </c>
      <c r="K53" s="774">
        <f t="shared" si="6"/>
        <v>10.037285830338543</v>
      </c>
      <c r="L53" s="774">
        <f t="shared" si="6"/>
        <v>0</v>
      </c>
      <c r="M53" s="774">
        <f t="shared" ca="1" si="6"/>
        <v>0</v>
      </c>
      <c r="N53" s="774">
        <f t="shared" si="6"/>
        <v>0</v>
      </c>
      <c r="O53" s="774">
        <f t="shared" ca="1" si="6"/>
        <v>0</v>
      </c>
      <c r="P53" s="774">
        <f>P41+P46+P48</f>
        <v>0</v>
      </c>
      <c r="Q53" s="775">
        <f t="shared" si="6"/>
        <v>0</v>
      </c>
      <c r="R53" s="776">
        <f ca="1">R41+R46+R48</f>
        <v>66196.896283583686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0.19337174220255582</v>
      </c>
      <c r="D55" s="837">
        <f t="shared" ca="1" si="7"/>
        <v>0</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7026.4688861650366</v>
      </c>
      <c r="C66" s="796">
        <f>'lokale energieproductie'!B6</f>
        <v>7026.4688861650366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7026.4688861650366</v>
      </c>
      <c r="C69" s="804">
        <f>SUM(C64:C68)</f>
        <v>7026.4688861650366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27457.493466759272</v>
      </c>
      <c r="C4" s="479">
        <f>huishoudens!C8</f>
        <v>0</v>
      </c>
      <c r="D4" s="479">
        <f>huishoudens!D8</f>
        <v>71005.876957722183</v>
      </c>
      <c r="E4" s="479">
        <f>huishoudens!E8</f>
        <v>447.83509244343213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2426.1534654188467</v>
      </c>
      <c r="O4" s="479">
        <f>huishoudens!O8</f>
        <v>53.153333333333336</v>
      </c>
      <c r="P4" s="480">
        <f>huishoudens!P8</f>
        <v>95.333333333333343</v>
      </c>
      <c r="Q4" s="481">
        <f>SUM(B4:P4)</f>
        <v>101485.8456490104</v>
      </c>
    </row>
    <row r="5" spans="1:17">
      <c r="A5" s="478" t="s">
        <v>156</v>
      </c>
      <c r="B5" s="479">
        <f ca="1">tertiair!B16</f>
        <v>21367.481</v>
      </c>
      <c r="C5" s="479">
        <f ca="1">tertiair!C16</f>
        <v>0</v>
      </c>
      <c r="D5" s="479">
        <f ca="1">tertiair!D16</f>
        <v>28424.952240908842</v>
      </c>
      <c r="E5" s="479">
        <f>tertiair!E16</f>
        <v>215.57424970135204</v>
      </c>
      <c r="F5" s="479">
        <f ca="1">tertiair!F16</f>
        <v>3204.6697479511736</v>
      </c>
      <c r="G5" s="479">
        <f>tertiair!G16</f>
        <v>0</v>
      </c>
      <c r="H5" s="479">
        <f>tertiair!H16</f>
        <v>0</v>
      </c>
      <c r="I5" s="479">
        <f>tertiair!I16</f>
        <v>0</v>
      </c>
      <c r="J5" s="479">
        <f>tertiair!J16</f>
        <v>0</v>
      </c>
      <c r="K5" s="479">
        <f>tertiair!K16</f>
        <v>0</v>
      </c>
      <c r="L5" s="479">
        <f ca="1">tertiair!L16</f>
        <v>0</v>
      </c>
      <c r="M5" s="479">
        <f>tertiair!M16</f>
        <v>0</v>
      </c>
      <c r="N5" s="479">
        <f ca="1">tertiair!N16</f>
        <v>1390.5145668845955</v>
      </c>
      <c r="O5" s="479">
        <f>tertiair!O16</f>
        <v>1.5633333333333335</v>
      </c>
      <c r="P5" s="480">
        <f>tertiair!P16</f>
        <v>0</v>
      </c>
      <c r="Q5" s="478">
        <f t="shared" ref="Q5:Q13" ca="1" si="0">SUM(B5:P5)</f>
        <v>54604.755138779285</v>
      </c>
    </row>
    <row r="6" spans="1:17">
      <c r="A6" s="478" t="s">
        <v>194</v>
      </c>
      <c r="B6" s="479">
        <f>'openbare verlichting'!B8</f>
        <v>985.96400000000006</v>
      </c>
      <c r="C6" s="479"/>
      <c r="D6" s="479"/>
      <c r="E6" s="479"/>
      <c r="F6" s="479"/>
      <c r="G6" s="479"/>
      <c r="H6" s="479"/>
      <c r="I6" s="479"/>
      <c r="J6" s="479"/>
      <c r="K6" s="479"/>
      <c r="L6" s="479"/>
      <c r="M6" s="479"/>
      <c r="N6" s="479"/>
      <c r="O6" s="479"/>
      <c r="P6" s="480"/>
      <c r="Q6" s="478">
        <f t="shared" si="0"/>
        <v>985.96400000000006</v>
      </c>
    </row>
    <row r="7" spans="1:17">
      <c r="A7" s="478" t="s">
        <v>112</v>
      </c>
      <c r="B7" s="479">
        <f>landbouw!B8</f>
        <v>7.0131450000000006</v>
      </c>
      <c r="C7" s="479">
        <f>landbouw!C8</f>
        <v>0</v>
      </c>
      <c r="D7" s="479">
        <f>landbouw!D8</f>
        <v>4509.469688668697</v>
      </c>
      <c r="E7" s="479">
        <f>landbouw!E8</f>
        <v>6.4958686365135174E-2</v>
      </c>
      <c r="F7" s="479">
        <f>landbouw!F8</f>
        <v>17.79368486775147</v>
      </c>
      <c r="G7" s="479">
        <f>landbouw!G8</f>
        <v>0</v>
      </c>
      <c r="H7" s="479">
        <f>landbouw!H8</f>
        <v>0</v>
      </c>
      <c r="I7" s="479">
        <f>landbouw!I8</f>
        <v>0</v>
      </c>
      <c r="J7" s="479">
        <f>landbouw!J8</f>
        <v>1.0751933954266297</v>
      </c>
      <c r="K7" s="479">
        <f>landbouw!K8</f>
        <v>0</v>
      </c>
      <c r="L7" s="479">
        <f>landbouw!L8</f>
        <v>0</v>
      </c>
      <c r="M7" s="479">
        <f>landbouw!M8</f>
        <v>0</v>
      </c>
      <c r="N7" s="479">
        <f>landbouw!N8</f>
        <v>0</v>
      </c>
      <c r="O7" s="479">
        <f>landbouw!O8</f>
        <v>0</v>
      </c>
      <c r="P7" s="480">
        <f>landbouw!P8</f>
        <v>0</v>
      </c>
      <c r="Q7" s="478">
        <f t="shared" si="0"/>
        <v>4535.4166706182414</v>
      </c>
    </row>
    <row r="8" spans="1:17">
      <c r="A8" s="478" t="s">
        <v>650</v>
      </c>
      <c r="B8" s="479">
        <f>industrie!B18</f>
        <v>6368.3072000000002</v>
      </c>
      <c r="C8" s="479">
        <f>industrie!C18</f>
        <v>0</v>
      </c>
      <c r="D8" s="479">
        <f>industrie!D18</f>
        <v>4448.1530933505937</v>
      </c>
      <c r="E8" s="479">
        <f>industrie!E18</f>
        <v>468.76809532925654</v>
      </c>
      <c r="F8" s="479">
        <f>industrie!F18</f>
        <v>2598.1860717471027</v>
      </c>
      <c r="G8" s="479">
        <f>industrie!G18</f>
        <v>0</v>
      </c>
      <c r="H8" s="479">
        <f>industrie!H18</f>
        <v>0</v>
      </c>
      <c r="I8" s="479">
        <f>industrie!I18</f>
        <v>0</v>
      </c>
      <c r="J8" s="479">
        <f>industrie!J18</f>
        <v>27.278721379541004</v>
      </c>
      <c r="K8" s="479">
        <f>industrie!K18</f>
        <v>0</v>
      </c>
      <c r="L8" s="479">
        <f>industrie!L18</f>
        <v>0</v>
      </c>
      <c r="M8" s="479">
        <f>industrie!M18</f>
        <v>0</v>
      </c>
      <c r="N8" s="479">
        <f>industrie!N18</f>
        <v>1299.8773386864145</v>
      </c>
      <c r="O8" s="479">
        <f>industrie!O18</f>
        <v>0</v>
      </c>
      <c r="P8" s="480">
        <f>industrie!P18</f>
        <v>0</v>
      </c>
      <c r="Q8" s="478">
        <f t="shared" si="0"/>
        <v>15210.570520492909</v>
      </c>
    </row>
    <row r="9" spans="1:17" s="484" customFormat="1">
      <c r="A9" s="482" t="s">
        <v>571</v>
      </c>
      <c r="B9" s="483">
        <f>transport!B14</f>
        <v>18.864045684195904</v>
      </c>
      <c r="C9" s="483">
        <f>transport!C14</f>
        <v>0</v>
      </c>
      <c r="D9" s="483">
        <f>transport!D14</f>
        <v>47.865269523397743</v>
      </c>
      <c r="E9" s="483">
        <f>transport!E14</f>
        <v>331.51941130557873</v>
      </c>
      <c r="F9" s="483">
        <f>transport!F14</f>
        <v>0</v>
      </c>
      <c r="G9" s="483">
        <f>transport!G14</f>
        <v>98883.883390366071</v>
      </c>
      <c r="H9" s="483">
        <f>transport!H14</f>
        <v>18397.682193310808</v>
      </c>
      <c r="I9" s="483">
        <f>transport!I14</f>
        <v>0</v>
      </c>
      <c r="J9" s="483">
        <f>transport!J14</f>
        <v>0</v>
      </c>
      <c r="K9" s="483">
        <f>transport!K14</f>
        <v>0</v>
      </c>
      <c r="L9" s="483">
        <f>transport!L14</f>
        <v>0</v>
      </c>
      <c r="M9" s="483">
        <f>transport!M14</f>
        <v>6286.3310615370156</v>
      </c>
      <c r="N9" s="483">
        <f>transport!N14</f>
        <v>0</v>
      </c>
      <c r="O9" s="483">
        <f>transport!O14</f>
        <v>0</v>
      </c>
      <c r="P9" s="483">
        <f>transport!P14</f>
        <v>0</v>
      </c>
      <c r="Q9" s="482">
        <f>SUM(B9:P9)</f>
        <v>123966.14537172708</v>
      </c>
    </row>
    <row r="10" spans="1:17">
      <c r="A10" s="478" t="s">
        <v>561</v>
      </c>
      <c r="B10" s="479">
        <f>transport!B54</f>
        <v>0</v>
      </c>
      <c r="C10" s="479">
        <f>transport!C54</f>
        <v>0</v>
      </c>
      <c r="D10" s="479">
        <f>transport!D54</f>
        <v>0</v>
      </c>
      <c r="E10" s="479">
        <f>transport!E54</f>
        <v>0</v>
      </c>
      <c r="F10" s="479">
        <f>transport!F54</f>
        <v>0</v>
      </c>
      <c r="G10" s="479">
        <f>transport!G54</f>
        <v>2040.574180485705</v>
      </c>
      <c r="H10" s="479">
        <f>transport!H54</f>
        <v>0</v>
      </c>
      <c r="I10" s="479">
        <f>transport!I54</f>
        <v>0</v>
      </c>
      <c r="J10" s="479">
        <f>transport!J54</f>
        <v>0</v>
      </c>
      <c r="K10" s="479">
        <f>transport!K54</f>
        <v>0</v>
      </c>
      <c r="L10" s="479">
        <f>transport!L54</f>
        <v>0</v>
      </c>
      <c r="M10" s="479">
        <f>transport!M54</f>
        <v>116.36799691802203</v>
      </c>
      <c r="N10" s="479">
        <f>transport!N54</f>
        <v>0</v>
      </c>
      <c r="O10" s="479">
        <f>transport!O54</f>
        <v>0</v>
      </c>
      <c r="P10" s="480">
        <f>transport!P54</f>
        <v>0</v>
      </c>
      <c r="Q10" s="478">
        <f t="shared" si="0"/>
        <v>2156.9421774037269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56205.122857443472</v>
      </c>
      <c r="C14" s="489">
        <f t="shared" ref="C14:Q14" ca="1" si="1">SUM(C4:C13)</f>
        <v>0</v>
      </c>
      <c r="D14" s="489">
        <f t="shared" ca="1" si="1"/>
        <v>108436.31725017373</v>
      </c>
      <c r="E14" s="489">
        <f t="shared" si="1"/>
        <v>1463.7618074659845</v>
      </c>
      <c r="F14" s="489">
        <f t="shared" ca="1" si="1"/>
        <v>5820.6495045660276</v>
      </c>
      <c r="G14" s="489">
        <f t="shared" si="1"/>
        <v>100924.45757085178</v>
      </c>
      <c r="H14" s="489">
        <f t="shared" si="1"/>
        <v>18397.682193310808</v>
      </c>
      <c r="I14" s="489">
        <f t="shared" si="1"/>
        <v>0</v>
      </c>
      <c r="J14" s="489">
        <f t="shared" si="1"/>
        <v>28.353914774967635</v>
      </c>
      <c r="K14" s="489">
        <f t="shared" si="1"/>
        <v>0</v>
      </c>
      <c r="L14" s="489">
        <f t="shared" ca="1" si="1"/>
        <v>0</v>
      </c>
      <c r="M14" s="489">
        <f t="shared" si="1"/>
        <v>6402.6990584550376</v>
      </c>
      <c r="N14" s="489">
        <f t="shared" ca="1" si="1"/>
        <v>5116.5453709898575</v>
      </c>
      <c r="O14" s="489">
        <f t="shared" si="1"/>
        <v>54.716666666666669</v>
      </c>
      <c r="P14" s="490">
        <f t="shared" si="1"/>
        <v>95.333333333333343</v>
      </c>
      <c r="Q14" s="490">
        <f t="shared" ca="1" si="1"/>
        <v>302945.63952803164</v>
      </c>
    </row>
    <row r="16" spans="1:17">
      <c r="A16" s="492" t="s">
        <v>566</v>
      </c>
      <c r="B16" s="842">
        <f ca="1">huishoudens!B10</f>
        <v>0.19337174220255579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5309.503348182534</v>
      </c>
      <c r="C21" s="479">
        <f t="shared" ref="C21:C30" ca="1" si="3">C4*$C$16</f>
        <v>0</v>
      </c>
      <c r="D21" s="479">
        <f t="shared" ref="D21:D30" si="4">D4*$D$16</f>
        <v>14343.187145459882</v>
      </c>
      <c r="E21" s="479">
        <f t="shared" ref="E21:E30" si="5">E4*$E$16</f>
        <v>101.65856598465909</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19754.349059627079</v>
      </c>
    </row>
    <row r="22" spans="1:17">
      <c r="A22" s="478" t="s">
        <v>156</v>
      </c>
      <c r="B22" s="479">
        <f t="shared" ca="1" si="2"/>
        <v>4131.8670274500091</v>
      </c>
      <c r="C22" s="479">
        <f t="shared" ca="1" si="3"/>
        <v>0</v>
      </c>
      <c r="D22" s="479">
        <f t="shared" ca="1" si="4"/>
        <v>5741.8403526635866</v>
      </c>
      <c r="E22" s="479">
        <f t="shared" si="5"/>
        <v>48.935354682206913</v>
      </c>
      <c r="F22" s="479">
        <f t="shared" ca="1" si="6"/>
        <v>855.64682270296339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10778.289557498767</v>
      </c>
    </row>
    <row r="23" spans="1:17">
      <c r="A23" s="478" t="s">
        <v>194</v>
      </c>
      <c r="B23" s="479">
        <f t="shared" ca="1" si="2"/>
        <v>190.65757642900073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190.65757642900073</v>
      </c>
    </row>
    <row r="24" spans="1:17">
      <c r="A24" s="478" t="s">
        <v>112</v>
      </c>
      <c r="B24" s="479">
        <f t="shared" ca="1" si="2"/>
        <v>1.3561440669691434</v>
      </c>
      <c r="C24" s="479">
        <f t="shared" ca="1" si="3"/>
        <v>0</v>
      </c>
      <c r="D24" s="479">
        <f t="shared" si="4"/>
        <v>910.91287711107691</v>
      </c>
      <c r="E24" s="479">
        <f t="shared" si="5"/>
        <v>1.4745621804885685E-2</v>
      </c>
      <c r="F24" s="479">
        <f t="shared" si="6"/>
        <v>4.7509138596896427</v>
      </c>
      <c r="G24" s="479">
        <f t="shared" si="7"/>
        <v>0</v>
      </c>
      <c r="H24" s="479">
        <f t="shared" si="8"/>
        <v>0</v>
      </c>
      <c r="I24" s="479">
        <f t="shared" si="9"/>
        <v>0</v>
      </c>
      <c r="J24" s="479">
        <f t="shared" si="10"/>
        <v>0.38061846198102689</v>
      </c>
      <c r="K24" s="479">
        <f t="shared" si="11"/>
        <v>0</v>
      </c>
      <c r="L24" s="479">
        <f t="shared" si="12"/>
        <v>0</v>
      </c>
      <c r="M24" s="479">
        <f t="shared" si="13"/>
        <v>0</v>
      </c>
      <c r="N24" s="479">
        <f t="shared" si="14"/>
        <v>0</v>
      </c>
      <c r="O24" s="479">
        <f t="shared" si="15"/>
        <v>0</v>
      </c>
      <c r="P24" s="480">
        <f t="shared" si="16"/>
        <v>0</v>
      </c>
      <c r="Q24" s="478">
        <f t="shared" ca="1" si="17"/>
        <v>917.41529912152157</v>
      </c>
    </row>
    <row r="25" spans="1:17">
      <c r="A25" s="478" t="s">
        <v>650</v>
      </c>
      <c r="B25" s="479">
        <f t="shared" ca="1" si="2"/>
        <v>1231.4506581450798</v>
      </c>
      <c r="C25" s="479">
        <f t="shared" ca="1" si="3"/>
        <v>0</v>
      </c>
      <c r="D25" s="479">
        <f t="shared" si="4"/>
        <v>898.52692485681996</v>
      </c>
      <c r="E25" s="479">
        <f t="shared" si="5"/>
        <v>106.41035763974124</v>
      </c>
      <c r="F25" s="479">
        <f t="shared" si="6"/>
        <v>693.71568115647642</v>
      </c>
      <c r="G25" s="479">
        <f t="shared" si="7"/>
        <v>0</v>
      </c>
      <c r="H25" s="479">
        <f t="shared" si="8"/>
        <v>0</v>
      </c>
      <c r="I25" s="479">
        <f t="shared" si="9"/>
        <v>0</v>
      </c>
      <c r="J25" s="479">
        <f t="shared" si="10"/>
        <v>9.6566673683575157</v>
      </c>
      <c r="K25" s="479">
        <f t="shared" si="11"/>
        <v>0</v>
      </c>
      <c r="L25" s="479">
        <f t="shared" si="12"/>
        <v>0</v>
      </c>
      <c r="M25" s="479">
        <f t="shared" si="13"/>
        <v>0</v>
      </c>
      <c r="N25" s="479">
        <f t="shared" si="14"/>
        <v>0</v>
      </c>
      <c r="O25" s="479">
        <f t="shared" si="15"/>
        <v>0</v>
      </c>
      <c r="P25" s="480">
        <f t="shared" si="16"/>
        <v>0</v>
      </c>
      <c r="Q25" s="478">
        <f t="shared" ca="1" si="17"/>
        <v>2939.7602891664746</v>
      </c>
    </row>
    <row r="26" spans="1:17" s="484" customFormat="1">
      <c r="A26" s="482" t="s">
        <v>571</v>
      </c>
      <c r="B26" s="836">
        <f t="shared" ca="1" si="2"/>
        <v>3.6477733789415656</v>
      </c>
      <c r="C26" s="483">
        <f t="shared" ca="1" si="3"/>
        <v>0</v>
      </c>
      <c r="D26" s="483">
        <f t="shared" si="4"/>
        <v>9.668784443726345</v>
      </c>
      <c r="E26" s="483">
        <f t="shared" si="5"/>
        <v>75.25490636636637</v>
      </c>
      <c r="F26" s="483">
        <f t="shared" si="6"/>
        <v>0</v>
      </c>
      <c r="G26" s="483">
        <f t="shared" si="7"/>
        <v>26401.996865227742</v>
      </c>
      <c r="H26" s="483">
        <f t="shared" si="8"/>
        <v>4581.0228661343908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31071.591195551166</v>
      </c>
    </row>
    <row r="27" spans="1:17">
      <c r="A27" s="478" t="s">
        <v>561</v>
      </c>
      <c r="B27" s="479">
        <f t="shared" ca="1" si="2"/>
        <v>0</v>
      </c>
      <c r="C27" s="479">
        <f t="shared" ca="1" si="3"/>
        <v>0</v>
      </c>
      <c r="D27" s="479">
        <f t="shared" si="4"/>
        <v>0</v>
      </c>
      <c r="E27" s="479">
        <f t="shared" si="5"/>
        <v>0</v>
      </c>
      <c r="F27" s="479">
        <f t="shared" si="6"/>
        <v>0</v>
      </c>
      <c r="G27" s="479">
        <f t="shared" si="7"/>
        <v>544.8333061896833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544.8333061896833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10868.482527652535</v>
      </c>
      <c r="C31" s="489">
        <f t="shared" ca="1" si="18"/>
        <v>0</v>
      </c>
      <c r="D31" s="489">
        <f t="shared" ca="1" si="18"/>
        <v>21904.13608453509</v>
      </c>
      <c r="E31" s="489">
        <f t="shared" si="18"/>
        <v>332.27393029477849</v>
      </c>
      <c r="F31" s="489">
        <f t="shared" ca="1" si="18"/>
        <v>1554.1134177191293</v>
      </c>
      <c r="G31" s="489">
        <f t="shared" si="18"/>
        <v>26946.830171417427</v>
      </c>
      <c r="H31" s="489">
        <f t="shared" si="18"/>
        <v>4581.0228661343908</v>
      </c>
      <c r="I31" s="489">
        <f t="shared" si="18"/>
        <v>0</v>
      </c>
      <c r="J31" s="489">
        <f t="shared" si="18"/>
        <v>10.037285830338543</v>
      </c>
      <c r="K31" s="489">
        <f t="shared" si="18"/>
        <v>0</v>
      </c>
      <c r="L31" s="489">
        <f t="shared" ca="1" si="18"/>
        <v>0</v>
      </c>
      <c r="M31" s="489">
        <f t="shared" si="18"/>
        <v>0</v>
      </c>
      <c r="N31" s="489">
        <f t="shared" ca="1" si="18"/>
        <v>0</v>
      </c>
      <c r="O31" s="489">
        <f t="shared" si="18"/>
        <v>0</v>
      </c>
      <c r="P31" s="490">
        <f t="shared" si="18"/>
        <v>0</v>
      </c>
      <c r="Q31" s="490">
        <f t="shared" ca="1" si="18"/>
        <v>66196.896283583686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0.19337174220255579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0.19337174220255579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0.19337174220255579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2018-06-27T09:34:16Z</dcterms:modified>
</cp:coreProperties>
</file>