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B22"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17" i="49" l="1"/>
  <c r="C29" i="20"/>
  <c r="C17" i="19"/>
  <c r="C19" s="1"/>
  <c r="D35" i="14" s="1"/>
  <c r="C20" i="16"/>
  <c r="C22" s="1"/>
  <c r="D39" i="14" s="1"/>
  <c r="C18" i="15"/>
  <c r="C20" s="1"/>
  <c r="D36" i="14" s="1"/>
  <c r="C10" i="13"/>
  <c r="C16" i="48" s="1"/>
  <c r="C30" s="1"/>
  <c r="C16" i="22"/>
  <c r="C10" i="17"/>
  <c r="C12" s="1"/>
  <c r="D48" i="14" s="1"/>
  <c r="C56" i="22"/>
  <c r="C58" s="1"/>
  <c r="D44" i="14" s="1"/>
  <c r="D46" s="1"/>
  <c r="F8" i="48"/>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27" i="48"/>
  <c r="C28"/>
  <c r="C22"/>
  <c r="C25"/>
  <c r="C29"/>
  <c r="R13" i="14"/>
  <c r="R15" s="1"/>
  <c r="F25" i="48" l="1"/>
  <c r="F31" s="1"/>
  <c r="F14"/>
  <c r="C2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<sst xmlns="http://schemas.openxmlformats.org/spreadsheetml/2006/main" count="1970" uniqueCount="846">
  <si>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</si>
  <si>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</si>
  <si>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</si>
  <si>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</si>
  <si>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</si>
  <si>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</si>
  <si>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</si>
  <si>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</si>
  <si>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</si>
  <si>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</si>
  <si>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</si>
  <si>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</si>
  <si>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</si>
  <si>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</si>
  <si>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</si>
  <si>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</si>
  <si>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</si>
  <si>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</si>
  <si>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</si>
  <si>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</si>
  <si>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</si>
  <si>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</si>
  <si>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</si>
  <si>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</si>
  <si>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</si>
  <si>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</si>
  <si>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</si>
  <si>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</si>
  <si>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</si>
  <si>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</si>
  <si>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</si>
  <si>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</si>
  <si>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</si>
  <si>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</si>
  <si>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</si>
  <si>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</si>
  <si>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</si>
  <si>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</si>
  <si>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</si>
  <si>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</si>
  <si>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</si>
  <si>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</si>
  <si>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</si>
  <si>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</si>
  <si>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</si>
  <si>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</si>
  <si>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</si>
  <si>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</si>
  <si>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</si>
  <si>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</si>
  <si>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</si>
  <si>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</si>
  <si>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</si>
  <si>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</si>
  <si>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</si>
  <si>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</si>
  <si>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</si>
  <si>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</si>
  <si>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</si>
  <si>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</si>
  <si>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</si>
  <si>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</si>
  <si>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</si>
  <si>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</si>
  <si>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</si>
  <si>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</si>
  <si>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</si>
  <si>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</si>
  <si>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</si>
  <si>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</si>
  <si>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</si>
  <si>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</si>
  <si>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</si>
  <si>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</si>
  <si>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</si>
  <si>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</si>
  <si>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</si>
  <si>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</si>
  <si>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</si>
  <si>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</si>
  <si>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</si>
  <si>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</si>
  <si>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</si>
  <si>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</si>
  <si>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</si>
  <si>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</si>
  <si>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</si>
  <si>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</si>
  <si>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</si>
  <si>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</si>
  <si>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</si>
  <si>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</si>
  <si>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</si>
  <si>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</si>
  <si>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</si>
  <si>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</si>
  <si>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</si>
  <si>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</si>
  <si>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</si>
  <si>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</si>
  <si>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</si>
  <si>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</si>
  <si>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</si>
  <si>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</si>
  <si>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</si>
  <si>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</si>
  <si>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</si>
  <si>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</si>
  <si>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</si>
  <si>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</si>
  <si>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</si>
  <si>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</si>
  <si>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</si>
  <si>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</si>
  <si>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</si>
  <si>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</si>
  <si>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</si>
  <si>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</si>
  <si>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</si>
  <si>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</si>
  <si>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</si>
  <si>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</si>
  <si>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</si>
  <si>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</si>
  <si>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</si>
  <si>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</si>
  <si>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</si>
  <si>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</si>
  <si>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</si>
  <si>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</si>
  <si>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</si>
  <si>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</si>
  <si>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</si>
  <si>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</si>
  <si>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</si>
  <si>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</si>
  <si>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</si>
  <si>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</si>
  <si>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</si>
  <si>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</si>
  <si>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</si>
  <si>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</si>
  <si>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</si>
  <si>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</si>
  <si>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</si>
  <si>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</si>
  <si>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</si>
  <si>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</si>
  <si>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</si>
  <si>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</si>
  <si>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</si>
  <si>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</si>
  <si>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</si>
  <si>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</si>
  <si>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</si>
  <si>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</si>
  <si>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</si>
  <si>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</si>
  <si>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</si>
  <si>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</si>
  <si>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</si>
  <si>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</si>
  <si>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</si>
  <si>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</si>
  <si>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</si>
  <si>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</si>
  <si>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</si>
  <si>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</si>
  <si>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</si>
  <si>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</si>
  <si>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</si>
  <si>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</si>
  <si>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</si>
  <si>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</si>
  <si>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</si>
  <si>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</si>
  <si>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</si>
  <si>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</si>
  <si>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</si>
  <si>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</si>
  <si>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</si>
  <si>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</si>
  <si>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</si>
  <si>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</si>
  <si>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</si>
  <si>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</si>
  <si>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</si>
  <si>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</si>
  <si>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</si>
  <si>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</si>
  <si>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</si>
  <si>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</si>
  <si>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</si>
  <si>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</si>
  <si>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</si>
  <si>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</si>
  <si>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</si>
  <si>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</si>
  <si>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</si>
  <si>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</si>
  <si>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</si>
  <si>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</si>
  <si>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</si>
  <si>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</si>
  <si>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</si>
  <si>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</si>
  <si>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</si>
  <si>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</si>
  <si>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</si>
  <si>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</si>
  <si>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</si>
  <si>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</si>
  <si>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</si>
  <si>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</si>
  <si>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</si>
  <si>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</si>
  <si>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</si>
  <si>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</si>
  <si>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</si>
  <si>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</si>
  <si>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</si>
  <si>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</si>
  <si>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</si>
  <si>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</si>
  <si>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</si>
  <si>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</si>
  <si>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</si>
  <si>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</si>
  <si>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</si>
  <si>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</si>
  <si>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</si>
  <si>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</si>
  <si>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</si>
  <si>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</si>
  <si>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</si>
  <si>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</si>
  <si>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</si>
  <si>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</si>
  <si>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</si>
  <si>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</si>
  <si>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</si>
  <si>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</si>
  <si>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</si>
  <si>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</si>
  <si>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</si>
  <si>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</si>
  <si>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</si>
  <si>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</si>
  <si>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</si>
  <si>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</si>
  <si>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</si>
  <si>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</si>
  <si>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</si>
  <si>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</si>
  <si>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</si>
  <si>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</si>
  <si>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</si>
  <si>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</si>
  <si>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</si>
  <si>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</si>
  <si>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</si>
  <si>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</si>
  <si>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</si>
  <si>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</si>
  <si>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</si>
  <si>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</si>
  <si>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</si>
  <si>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</si>
  <si>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</si>
  <si>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</si>
  <si>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</si>
  <si>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</si>
  <si>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</si>
  <si>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</si>
  <si>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</si>
  <si>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</si>
  <si>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</si>
  <si>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</si>
  <si>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</si>
  <si>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</si>
  <si>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</si>
  <si>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</si>
  <si>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</si>
  <si>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</si>
  <si>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</si>
  <si>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</si>
  <si>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</si>
  <si>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</si>
  <si>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</si>
  <si>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</si>
  <si>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</si>
  <si>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</si>
  <si>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</si>
  <si>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</si>
  <si>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</si>
  <si>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</si>
  <si>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</si>
  <si>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</si>
  <si>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</si>
  <si>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</si>
  <si>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</si>
  <si>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</si>
  <si>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</si>
  <si>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</si>
  <si>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</si>
  <si>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</si>
  <si>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</si>
  <si>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</si>
  <si>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</si>
  <si>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</si>
  <si>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</si>
  <si>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</si>
  <si>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</si>
  <si>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</si>
  <si>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</si>
  <si>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</si>
  <si>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</si>
  <si>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</si>
  <si>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</si>
  <si>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</si>
  <si>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</si>
  <si>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</si>
  <si>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</si>
  <si>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</si>
  <si>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</si>
  <si>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</si>
  <si>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</si>
  <si>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</si>
  <si>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</si>
  <si>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</si>
  <si>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</si>
  <si>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</si>
  <si>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</si>
  <si>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</si>
  <si>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</si>
  <si>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</si>
  <si>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</si>
  <si>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</si>
  <si>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</si>
  <si>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</si>
  <si>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</si>
  <si>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</si>
  <si>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</si>
  <si>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</si>
  <si>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</si>
  <si>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</si>
  <si>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</si>
  <si>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</si>
  <si>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</si>
  <si>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</si>
  <si>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</si>
  <si>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</si>
  <si>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</si>
  <si>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</si>
  <si>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</si>
  <si>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</si>
  <si>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</si>
  <si>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</si>
  <si>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</si>
  <si>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</si>
  <si>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</si>
  <si>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</si>
  <si>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</si>
  <si>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</si>
  <si>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</si>
  <si>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</si>
  <si>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</si>
  <si>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</si>
  <si>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</si>
  <si>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</si>
  <si>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</si>
  <si>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</si>
  <si>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</si>
  <si>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</si>
  <si>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</si>
  <si>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</si>
  <si>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</si>
  <si>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</si>
  <si>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</si>
  <si>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</si>
  <si>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</si>
  <si>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</si>
  <si>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</si>
  <si>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</si>
  <si>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</si>
  <si>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</si>
  <si>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</si>
  <si>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</si>
  <si>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</si>
  <si>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</si>
  <si>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</si>
  <si>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</si>
  <si>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</si>
  <si>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</si>
  <si>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</si>
  <si>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</si>
  <si>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</si>
  <si>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</si>
  <si>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</si>
  <si>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</si>
  <si>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</si>
  <si>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</si>
  <si>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</si>
  <si>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</si>
  <si>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</si>
  <si>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</si>
  <si>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</si>
  <si>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</si>
  <si>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</si>
  <si>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</si>
  <si>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</si>
  <si>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</si>
  <si>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</si>
  <si>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</si>
  <si>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</si>
  <si>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</si>
  <si>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</si>
  <si>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</si>
  <si>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</si>
  <si>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</si>
  <si>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</si>
  <si>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</si>
  <si>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</si>
  <si>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</si>
  <si>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</si>
  <si>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</si>
  <si>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</si>
  <si>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</si>
  <si>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</si>
  <si>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</si>
  <si>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</si>
  <si>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</si>
  <si>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</si>
  <si>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</si>
  <si>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</si>
  <si>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</si>
  <si>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</si>
  <si>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</si>
  <si>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</si>
  <si>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</si>
  <si>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</si>
  <si>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</si>
  <si>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</si>
  <si>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</si>
  <si>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</si>
  <si>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</si>
  <si>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</si>
  <si>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</si>
  <si>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</si>
  <si>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</si>
  <si>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</si>
  <si>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</si>
  <si>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</si>
  <si>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</si>
  <si>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</si>
  <si>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</si>
  <si>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</si>
  <si>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</si>
  <si>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</si>
  <si>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</si>
  <si>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</si>
  <si>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</si>
  <si>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</si>
  <si>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</si>
  <si>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</si>
  <si>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</si>
  <si>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</si>
  <si>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</si>
  <si>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</si>
  <si>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</si>
  <si>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</si>
  <si>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</si>
  <si>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</si>
  <si>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</si>
  <si>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</si>
  <si>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</si>
  <si>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</si>
  <si>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</si>
  <si>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</si>
  <si>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</si>
  <si>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</si>
  <si>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</si>
  <si>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</si>
  <si>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</si>
  <si>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</si>
  <si>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</si>
  <si>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</si>
  <si>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</si>
  <si>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</si>
  <si>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</si>
  <si>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</si>
  <si>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</si>
  <si>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</si>
  <si>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</si>
  <si>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</si>
  <si>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</si>
  <si>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</si>
  <si>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</si>
  <si>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</si>
  <si>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</si>
  <si>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</si>
  <si>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</si>
  <si>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</si>
  <si>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</si>
  <si>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</si>
  <si>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</si>
  <si>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</si>
  <si>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</si>
  <si>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</si>
  <si>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</si>
  <si>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</si>
  <si>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</si>
  <si>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</si>
  <si>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</si>
  <si>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</si>
  <si>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</si>
  <si>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</si>
  <si>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</si>
  <si>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</si>
  <si>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</si>
  <si>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</si>
  <si>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</si>
  <si>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</si>
  <si>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</si>
  <si>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</si>
  <si>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</si>
  <si>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</si>
  <si>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</si>
  <si>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</si>
  <si>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</si>
  <si>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</si>
  <si>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</si>
  <si>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</si>
  <si>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</si>
  <si>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</si>
  <si>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</si>
  <si>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</si>
  <si>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</si>
  <si>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</si>
  <si>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</si>
  <si>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</si>
  <si>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</si>
  <si>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</si>
  <si>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</si>
  <si>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</si>
  <si>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</si>
  <si>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</si>
  <si>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</si>
  <si>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</si>
  <si>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</si>
  <si>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</si>
  <si>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</si>
  <si>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</si>
  <si>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</si>
  <si>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</si>
  <si>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</si>
  <si>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</si>
  <si>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</si>
  <si>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</si>
  <si>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</si>
  <si>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</si>
  <si>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</si>
  <si>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</si>
  <si>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</si>
  <si>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</si>
  <si>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</si>
  <si>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</si>
  <si>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</si>
  <si>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</si>
  <si>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</si>
  <si>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</si>
  <si>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</si>
  <si>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</si>
  <si>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</si>
  <si>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</si>
  <si>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</si>
  <si>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</si>
  <si>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</si>
  <si>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</si>
  <si>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</si>
  <si>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</si>
  <si>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</si>
  <si>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</si>
  <si>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</si>
  <si>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</si>
  <si>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</si>
  <si>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</si>
  <si>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</si>
  <si>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</si>
  <si>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</si>
  <si>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</si>
  <si>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</si>
  <si>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</si>
  <si>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</si>
  <si>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</si>
  <si>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</si>
  <si>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</si>
  <si>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</si>
  <si>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</si>
  <si>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</si>
  <si>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</si>
  <si>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</si>
  <si>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</si>
  <si>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</si>
  <si>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</si>
  <si>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</si>
  <si>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</si>
  <si>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</si>
  <si>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</si>
  <si>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</si>
  <si>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</si>
  <si>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</si>
  <si>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</si>
  <si>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</si>
  <si>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</si>
  <si>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</si>
  <si>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</si>
  <si>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</si>
  <si>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</si>
  <si>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</si>
  <si>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</si>
  <si>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</si>
  <si>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</si>
  <si>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</si>
  <si>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</si>
  <si>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</si>
  <si>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</si>
  <si>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</si>
  <si>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</si>
  <si>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</si>
  <si>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</si>
  <si>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</si>
  <si>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</si>
  <si>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</si>
  <si>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</si>
  <si>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</si>
  <si>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</si>
  <si>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</si>
  <si>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</si>
  <si>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</si>
  <si>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</si>
  <si>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</si>
  <si>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</si>
  <si>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</si>
  <si>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</si>
  <si>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</si>
  <si>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</si>
  <si>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</si>
  <si>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</si>
  <si>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</si>
  <si>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</si>
  <si>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</si>
  <si>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</si>
  <si>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</si>
  <si>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</si>
  <si>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</si>
  <si>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</si>
  <si>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</si>
  <si>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</si>
  <si>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</si>
  <si>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</si>
  <si>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</si>
  <si>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</si>
  <si>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</si>
  <si>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</si>
  <si>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</si>
  <si>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</si>
  <si>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</si>
  <si>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</si>
  <si>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</si>
  <si>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</si>
  <si>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</si>
  <si>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</si>
  <si>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</si>
  <si>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</si>
  <si>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</si>
  <si>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</si>
  <si>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</si>
  <si>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</si>
  <si>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</si>
  <si>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</si>
  <si>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</si>
  <si>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</si>
  <si>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</si>
  <si>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</si>
  <si>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</si>
  <si>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</si>
  <si>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</si>
  <si>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</si>
  <si>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</si>
  <si>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</si>
  <si>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</si>
  <si>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</si>
  <si>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</si>
  <si>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</si>
  <si>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</si>
  <si>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</si>
  <si>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</si>
  <si>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</si>
  <si>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</si>
  <si>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</si>
  <si>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</si>
  <si>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</si>
  <si>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</si>
  <si>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</si>
  <si>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</si>
  <si>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</si>
  <si>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</si>
  <si>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</si>
  <si>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</si>
  <si>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</si>
  <si>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</si>
  <si>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</si>
  <si>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</si>
  <si>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</si>
  <si>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</si>
  <si>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</si>
  <si>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</si>
  <si>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</si>
  <si>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</si>
  <si>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</si>
  <si>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</si>
  <si>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</si>
  <si>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</si>
  <si>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</si>
  <si>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</si>
  <si>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</si>
  <si>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</si>
  <si>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</si>
  <si>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</si>
  <si>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</si>
  <si>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</si>
  <si>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</si>
  <si>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</si>
  <si>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</si>
  <si>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</si>
  <si>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</si>
  <si>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</si>
  <si>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</si>
  <si>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</si>
  <si>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</si>
  <si>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</si>
  <si>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</si>
  <si>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</si>
  <si>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</si>
  <si>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</si>
  <si>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</si>
  <si>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</si>
  <si>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</si>
  <si>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</si>
  <si>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</si>
  <si>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</si>
  <si>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</si>
  <si>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</si>
  <si>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</si>
  <si>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</si>
  <si>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</si>
  <si>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</si>
  <si>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</si>
  <si>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</si>
  <si>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</si>
  <si>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</si>
  <si>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</si>
  <si>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</si>
  <si>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</si>
  <si>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</si>
  <si>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</si>
  <si>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</si>
  <si>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</si>
  <si>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</si>
  <si>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</si>
  <si>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</si>
  <si>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</si>
  <si>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</si>
  <si>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</si>
  <si>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</si>
  <si>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</si>
  <si>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</si>
  <si>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</si>
  <si>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</si>
  <si>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</si>
  <si>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</si>
  <si>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</si>
  <si>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</si>
  <si>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</si>
  <si>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</si>
  <si>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</si>
  <si>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</si>
  <si>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</si>
  <si>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</si>
  <si>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</si>
  <si>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</si>
  <si>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</si>
  <si>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</si>
  <si>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</si>
  <si>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</si>
  <si>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</si>
  <si>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</si>
  <si>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</si>
  <si>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</si>
  <si>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</si>
  <si>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</si>
  <si>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</si>
  <si>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</si>
  <si>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</si>
  <si>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</si>
  <si>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</si>
  <si>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</si>
  <si>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</si>
  <si>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</si>
  <si>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</si>
  <si>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</si>
  <si>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</si>
  <si>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</si>
  <si>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</si>
  <si>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</si>
  <si>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</si>
  <si>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</si>
  <si>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</si>
  <si>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</si>
  <si>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</si>
  <si>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</si>
  <si>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</si>
  <si>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</si>
  <si>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</si>
  <si>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</si>
  <si>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</si>
  <si>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</si>
  <si>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</si>
  <si>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</si>
  <si>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</si>
  <si>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</si>
  <si>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</si>
  <si>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73042</t>
  </si>
  <si>
    <t>LANAKEN</t>
  </si>
  <si>
    <t>Cultuurgrond (ha)</t>
  </si>
  <si>
    <t>Paarden&amp;pony's 200 - 600 kg</t>
  </si>
  <si>
    <t>Paarden&amp;pony's &lt; 200 kg</t>
  </si>
  <si>
    <t>op basis van VEA (maart 2018) en Inventaris Hernieuwbare Energiebronnen (juni 2018)</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</si>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</sst>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238122.93573079328</c:v>
                </c:pt>
                <c:pt idx="1">
                  <c:v>135004.74230078279</c:v>
                </c:pt>
                <c:pt idx="2">
                  <c:v>1654.1769999999999</c:v>
                </c:pt>
                <c:pt idx="3">
                  <c:v>8018.892689521369</c:v>
                </c:pt>
                <c:pt idx="4">
                  <c:v>91378.815699773375</c:v>
                </c:pt>
                <c:pt idx="5">
                  <c:v>141542.5683044006</c:v>
                </c:pt>
                <c:pt idx="6">
                  <c:v>2609.4600039693287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238122.93573079328</c:v>
                </c:pt>
                <c:pt idx="1">
                  <c:v>135004.74230078279</c:v>
                </c:pt>
                <c:pt idx="2">
                  <c:v>1654.1769999999999</c:v>
                </c:pt>
                <c:pt idx="3">
                  <c:v>8018.892689521369</c:v>
                </c:pt>
                <c:pt idx="4">
                  <c:v>91378.815699773375</c:v>
                </c:pt>
                <c:pt idx="5">
                  <c:v>141542.5683044006</c:v>
                </c:pt>
                <c:pt idx="6">
                  <c:v>2609.4600039693287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46673.804454914825</c:v>
                </c:pt>
                <c:pt idx="1">
                  <c:v>26427.798780561352</c:v>
                </c:pt>
                <c:pt idx="2">
                  <c:v>292.27346404659795</c:v>
                </c:pt>
                <c:pt idx="3">
                  <c:v>1869.178257391022</c:v>
                </c:pt>
                <c:pt idx="4">
                  <c:v>17119.636946443901</c:v>
                </c:pt>
                <c:pt idx="5">
                  <c:v>35724.113847132139</c:v>
                </c:pt>
                <c:pt idx="6">
                  <c:v>667.06002995467384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8528"/>
        <c:axId val="182452608"/>
      </c:barChart>
      <c:catAx>
        <c:axId val="182438528"/>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385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46673.804454914825</c:v>
                </c:pt>
                <c:pt idx="1">
                  <c:v>26427.798780561352</c:v>
                </c:pt>
                <c:pt idx="2">
                  <c:v>292.27346404659795</c:v>
                </c:pt>
                <c:pt idx="3">
                  <c:v>1869.178257391022</c:v>
                </c:pt>
                <c:pt idx="4">
                  <c:v>17119.636946443901</c:v>
                </c:pt>
                <c:pt idx="5">
                  <c:v>35724.113847132139</c:v>
                </c:pt>
                <c:pt idx="6">
                  <c:v>667.06002995467384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73042</v>
      </c>
      <c r="B6" s="398"/>
      <c r="C6" s="399"/>
    </row>
    <row r="7" spans="1:7" s="396" customFormat="1" ht="15.75" customHeight="1">
      <c r="A7" s="400" t="str">
        <f>txtMunicipality</f>
        <v>LANAKEN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73042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10651</v>
      </c>
      <c r="C9" s="338">
        <v>11158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1541</v>
      </c>
    </row>
    <row r="15" spans="1:6">
      <c r="A15" s="1212" t="s">
        <v>184</v>
      </c>
      <c r="B15" s="335">
        <v>7</v>
      </c>
    </row>
    <row r="16" spans="1:6">
      <c r="A16" s="1212" t="s">
        <v>6</v>
      </c>
      <c r="B16" s="335">
        <v>231</v>
      </c>
    </row>
    <row r="17" spans="1:6">
      <c r="A17" s="1212" t="s">
        <v>7</v>
      </c>
      <c r="B17" s="335">
        <v>248</v>
      </c>
    </row>
    <row r="18" spans="1:6">
      <c r="A18" s="1212" t="s">
        <v>8</v>
      </c>
      <c r="B18" s="335">
        <v>257</v>
      </c>
    </row>
    <row r="19" spans="1:6">
      <c r="A19" s="1212" t="s">
        <v>9</v>
      </c>
      <c r="B19" s="335">
        <v>334</v>
      </c>
    </row>
    <row r="20" spans="1:6">
      <c r="A20" s="1212" t="s">
        <v>10</v>
      </c>
      <c r="B20" s="335">
        <v>250</v>
      </c>
    </row>
    <row r="21" spans="1:6">
      <c r="A21" s="1212" t="s">
        <v>11</v>
      </c>
      <c r="B21" s="335">
        <v>1532</v>
      </c>
    </row>
    <row r="22" spans="1:6">
      <c r="A22" s="1212" t="s">
        <v>12</v>
      </c>
      <c r="B22" s="335">
        <v>3336</v>
      </c>
    </row>
    <row r="23" spans="1:6">
      <c r="A23" s="1212" t="s">
        <v>13</v>
      </c>
      <c r="B23" s="335">
        <v>59</v>
      </c>
    </row>
    <row r="24" spans="1:6">
      <c r="A24" s="1212" t="s">
        <v>14</v>
      </c>
      <c r="B24" s="335">
        <v>4</v>
      </c>
    </row>
    <row r="25" spans="1:6">
      <c r="A25" s="1212" t="s">
        <v>15</v>
      </c>
      <c r="B25" s="335">
        <v>419</v>
      </c>
    </row>
    <row r="26" spans="1:6">
      <c r="A26" s="1212" t="s">
        <v>16</v>
      </c>
      <c r="B26" s="335">
        <v>98</v>
      </c>
    </row>
    <row r="27" spans="1:6">
      <c r="A27" s="1212" t="s">
        <v>17</v>
      </c>
      <c r="B27" s="335">
        <v>57</v>
      </c>
    </row>
    <row r="28" spans="1:6" s="341" customFormat="1">
      <c r="A28" s="1213" t="s">
        <v>18</v>
      </c>
      <c r="B28" s="1213">
        <v>183951</v>
      </c>
    </row>
    <row r="29" spans="1:6">
      <c r="A29" s="1213" t="s">
        <v>836</v>
      </c>
      <c r="B29" s="1213">
        <v>173</v>
      </c>
      <c r="C29" s="341"/>
      <c r="D29" s="341"/>
      <c r="E29" s="341"/>
      <c r="F29" s="341"/>
    </row>
    <row r="30" spans="1:6">
      <c r="A30" s="1208" t="s">
        <v>837</v>
      </c>
      <c r="B30" s="1208">
        <v>41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10</v>
      </c>
      <c r="F36" s="335">
        <v>32068</v>
      </c>
    </row>
    <row r="37" spans="1:6">
      <c r="A37" s="1212" t="s">
        <v>25</v>
      </c>
      <c r="B37" s="1212" t="s">
        <v>28</v>
      </c>
      <c r="C37" s="335">
        <v>0</v>
      </c>
      <c r="D37" s="335">
        <v>0</v>
      </c>
      <c r="E37" s="335">
        <v>0</v>
      </c>
      <c r="F37" s="335">
        <v>0</v>
      </c>
    </row>
    <row r="38" spans="1:6">
      <c r="A38" s="1212" t="s">
        <v>25</v>
      </c>
      <c r="B38" s="1212" t="s">
        <v>29</v>
      </c>
      <c r="C38" s="335">
        <v>2</v>
      </c>
      <c r="D38" s="335">
        <v>548059</v>
      </c>
      <c r="E38" s="335">
        <v>2</v>
      </c>
      <c r="F38" s="335">
        <v>45992</v>
      </c>
    </row>
    <row r="39" spans="1:6">
      <c r="A39" s="1212" t="s">
        <v>30</v>
      </c>
      <c r="B39" s="1212" t="s">
        <v>31</v>
      </c>
      <c r="C39" s="335">
        <v>6881</v>
      </c>
      <c r="D39" s="335">
        <v>142146343</v>
      </c>
      <c r="E39" s="335">
        <v>11098</v>
      </c>
      <c r="F39" s="335">
        <v>45407420</v>
      </c>
    </row>
    <row r="40" spans="1:6">
      <c r="A40" s="1212" t="s">
        <v>30</v>
      </c>
      <c r="B40" s="1212" t="s">
        <v>29</v>
      </c>
      <c r="C40" s="335">
        <v>0</v>
      </c>
      <c r="D40" s="335">
        <v>0</v>
      </c>
      <c r="E40" s="335">
        <v>0</v>
      </c>
      <c r="F40" s="335">
        <v>0</v>
      </c>
    </row>
    <row r="41" spans="1:6">
      <c r="A41" s="1212" t="s">
        <v>32</v>
      </c>
      <c r="B41" s="1212" t="s">
        <v>33</v>
      </c>
      <c r="C41" s="335">
        <v>49</v>
      </c>
      <c r="D41" s="335">
        <v>2079998</v>
      </c>
      <c r="E41" s="335">
        <v>142</v>
      </c>
      <c r="F41" s="335">
        <v>5346097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8</v>
      </c>
      <c r="D44" s="335">
        <v>303714</v>
      </c>
      <c r="E44" s="335">
        <v>21</v>
      </c>
      <c r="F44" s="335">
        <v>314232</v>
      </c>
    </row>
    <row r="45" spans="1:6">
      <c r="A45" s="1212" t="s">
        <v>32</v>
      </c>
      <c r="B45" s="1212" t="s">
        <v>37</v>
      </c>
      <c r="C45" s="335">
        <v>8</v>
      </c>
      <c r="D45" s="335">
        <v>517175</v>
      </c>
      <c r="E45" s="335">
        <v>13</v>
      </c>
      <c r="F45" s="335">
        <v>9802802</v>
      </c>
    </row>
    <row r="46" spans="1:6">
      <c r="A46" s="1212" t="s">
        <v>32</v>
      </c>
      <c r="B46" s="1212" t="s">
        <v>38</v>
      </c>
      <c r="C46" s="335">
        <v>0</v>
      </c>
      <c r="D46" s="335">
        <v>0</v>
      </c>
      <c r="E46" s="335">
        <v>0</v>
      </c>
      <c r="F46" s="335">
        <v>0</v>
      </c>
    </row>
    <row r="47" spans="1:6">
      <c r="A47" s="1212" t="s">
        <v>32</v>
      </c>
      <c r="B47" s="1212" t="s">
        <v>39</v>
      </c>
      <c r="C47" s="335">
        <v>3</v>
      </c>
      <c r="D47" s="335">
        <v>147702</v>
      </c>
      <c r="E47" s="335">
        <v>3</v>
      </c>
      <c r="F47" s="335">
        <v>250013</v>
      </c>
    </row>
    <row r="48" spans="1:6">
      <c r="A48" s="1212" t="s">
        <v>32</v>
      </c>
      <c r="B48" s="1212" t="s">
        <v>29</v>
      </c>
      <c r="C48" s="335">
        <v>1</v>
      </c>
      <c r="D48" s="335">
        <v>29953443</v>
      </c>
      <c r="E48" s="335">
        <v>2</v>
      </c>
      <c r="F48" s="335">
        <v>21101305</v>
      </c>
    </row>
    <row r="49" spans="1:6">
      <c r="A49" s="1212" t="s">
        <v>32</v>
      </c>
      <c r="B49" s="1212" t="s">
        <v>40</v>
      </c>
      <c r="C49" s="335">
        <v>4</v>
      </c>
      <c r="D49" s="335">
        <v>611129</v>
      </c>
      <c r="E49" s="335">
        <v>5</v>
      </c>
      <c r="F49" s="335">
        <v>143004</v>
      </c>
    </row>
    <row r="50" spans="1:6">
      <c r="A50" s="1212" t="s">
        <v>32</v>
      </c>
      <c r="B50" s="1212" t="s">
        <v>41</v>
      </c>
      <c r="C50" s="335">
        <v>9</v>
      </c>
      <c r="D50" s="335">
        <v>526923</v>
      </c>
      <c r="E50" s="335">
        <v>13</v>
      </c>
      <c r="F50" s="335">
        <v>716377</v>
      </c>
    </row>
    <row r="51" spans="1:6">
      <c r="A51" s="1212" t="s">
        <v>42</v>
      </c>
      <c r="B51" s="1212" t="s">
        <v>43</v>
      </c>
      <c r="C51" s="335">
        <v>13</v>
      </c>
      <c r="D51" s="335">
        <v>3148625</v>
      </c>
      <c r="E51" s="335">
        <v>49</v>
      </c>
      <c r="F51" s="335">
        <v>1122602</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95</v>
      </c>
      <c r="F54" s="335">
        <v>1654177</v>
      </c>
    </row>
    <row r="55" spans="1:6">
      <c r="A55" s="1212" t="s">
        <v>46</v>
      </c>
      <c r="B55" s="1212" t="s">
        <v>29</v>
      </c>
      <c r="C55" s="335">
        <v>0</v>
      </c>
      <c r="D55" s="335">
        <v>0</v>
      </c>
      <c r="E55" s="335">
        <v>0</v>
      </c>
      <c r="F55" s="335">
        <v>0</v>
      </c>
    </row>
    <row r="56" spans="1:6">
      <c r="A56" s="1212" t="s">
        <v>48</v>
      </c>
      <c r="B56" s="1212" t="s">
        <v>29</v>
      </c>
      <c r="C56" s="335">
        <v>181</v>
      </c>
      <c r="D56" s="335">
        <v>28128962</v>
      </c>
      <c r="E56" s="335">
        <v>279</v>
      </c>
      <c r="F56" s="335">
        <v>2229957</v>
      </c>
    </row>
    <row r="57" spans="1:6">
      <c r="A57" s="1212" t="s">
        <v>49</v>
      </c>
      <c r="B57" s="1212" t="s">
        <v>50</v>
      </c>
      <c r="C57" s="335">
        <v>48</v>
      </c>
      <c r="D57" s="335">
        <v>3592046</v>
      </c>
      <c r="E57" s="335">
        <v>126</v>
      </c>
      <c r="F57" s="335">
        <v>3256119</v>
      </c>
    </row>
    <row r="58" spans="1:6">
      <c r="A58" s="1212" t="s">
        <v>49</v>
      </c>
      <c r="B58" s="1212" t="s">
        <v>51</v>
      </c>
      <c r="C58" s="335">
        <v>17</v>
      </c>
      <c r="D58" s="335">
        <v>2378166</v>
      </c>
      <c r="E58" s="335">
        <v>38</v>
      </c>
      <c r="F58" s="335">
        <v>3562651</v>
      </c>
    </row>
    <row r="59" spans="1:6">
      <c r="A59" s="1212" t="s">
        <v>49</v>
      </c>
      <c r="B59" s="1212" t="s">
        <v>52</v>
      </c>
      <c r="C59" s="335">
        <v>132</v>
      </c>
      <c r="D59" s="335">
        <v>84531926</v>
      </c>
      <c r="E59" s="335">
        <v>284</v>
      </c>
      <c r="F59" s="335">
        <v>9441283</v>
      </c>
    </row>
    <row r="60" spans="1:6">
      <c r="A60" s="1212" t="s">
        <v>49</v>
      </c>
      <c r="B60" s="1212" t="s">
        <v>53</v>
      </c>
      <c r="C60" s="335">
        <v>62</v>
      </c>
      <c r="D60" s="335">
        <v>5484616</v>
      </c>
      <c r="E60" s="335">
        <v>117</v>
      </c>
      <c r="F60" s="335">
        <v>5734523</v>
      </c>
    </row>
    <row r="61" spans="1:6">
      <c r="A61" s="1212" t="s">
        <v>49</v>
      </c>
      <c r="B61" s="1212" t="s">
        <v>54</v>
      </c>
      <c r="C61" s="335">
        <v>147</v>
      </c>
      <c r="D61" s="335">
        <v>6556266</v>
      </c>
      <c r="E61" s="335">
        <v>451</v>
      </c>
      <c r="F61" s="335">
        <v>9127745</v>
      </c>
    </row>
    <row r="62" spans="1:6">
      <c r="A62" s="1212" t="s">
        <v>49</v>
      </c>
      <c r="B62" s="1212" t="s">
        <v>55</v>
      </c>
      <c r="C62" s="335">
        <v>9</v>
      </c>
      <c r="D62" s="335">
        <v>1459377</v>
      </c>
      <c r="E62" s="335">
        <v>16</v>
      </c>
      <c r="F62" s="335">
        <v>732768</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7</v>
      </c>
      <c r="D68" s="335">
        <v>606350</v>
      </c>
      <c r="E68" s="335">
        <v>21</v>
      </c>
      <c r="F68" s="335">
        <v>840500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141959898</v>
      </c>
      <c r="E73" s="335">
        <v>147481996.57861018</v>
      </c>
    </row>
    <row r="74" spans="1:6">
      <c r="A74" s="1212" t="s">
        <v>64</v>
      </c>
      <c r="B74" s="1212" t="s">
        <v>727</v>
      </c>
      <c r="C74" s="1212" t="s">
        <v>728</v>
      </c>
      <c r="D74" s="335">
        <v>8456347.8922253959</v>
      </c>
      <c r="E74" s="335">
        <v>9040163.7490421999</v>
      </c>
    </row>
    <row r="75" spans="1:6">
      <c r="A75" s="1212" t="s">
        <v>65</v>
      </c>
      <c r="B75" s="1212" t="s">
        <v>725</v>
      </c>
      <c r="C75" s="1212" t="s">
        <v>729</v>
      </c>
      <c r="D75" s="335">
        <v>37241411</v>
      </c>
      <c r="E75" s="335">
        <v>38774211.826492578</v>
      </c>
    </row>
    <row r="76" spans="1:6">
      <c r="A76" s="1212" t="s">
        <v>65</v>
      </c>
      <c r="B76" s="1212" t="s">
        <v>727</v>
      </c>
      <c r="C76" s="1212" t="s">
        <v>730</v>
      </c>
      <c r="D76" s="335">
        <v>455802.89222539501</v>
      </c>
      <c r="E76" s="335">
        <v>518100.35034252756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689388.21554920997</v>
      </c>
      <c r="C83" s="335">
        <v>661906.59504851711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14721.236423114269</v>
      </c>
    </row>
    <row r="91" spans="1:6">
      <c r="A91" s="1212" t="s">
        <v>68</v>
      </c>
      <c r="B91" s="335">
        <v>5815.9163120368539</v>
      </c>
    </row>
    <row r="92" spans="1:6">
      <c r="A92" s="1208" t="s">
        <v>69</v>
      </c>
      <c r="B92" s="338">
        <v>4239.9653830099342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3561</v>
      </c>
    </row>
    <row r="98" spans="1:6">
      <c r="A98" s="1212" t="s">
        <v>72</v>
      </c>
      <c r="B98" s="335">
        <v>4</v>
      </c>
    </row>
    <row r="99" spans="1:6">
      <c r="A99" s="1212" t="s">
        <v>73</v>
      </c>
      <c r="B99" s="335">
        <v>44</v>
      </c>
    </row>
    <row r="100" spans="1:6">
      <c r="A100" s="1212" t="s">
        <v>74</v>
      </c>
      <c r="B100" s="335">
        <v>445</v>
      </c>
    </row>
    <row r="101" spans="1:6">
      <c r="A101" s="1212" t="s">
        <v>75</v>
      </c>
      <c r="B101" s="335">
        <v>43</v>
      </c>
    </row>
    <row r="102" spans="1:6">
      <c r="A102" s="1212" t="s">
        <v>76</v>
      </c>
      <c r="B102" s="335">
        <v>124</v>
      </c>
    </row>
    <row r="103" spans="1:6">
      <c r="A103" s="1212" t="s">
        <v>77</v>
      </c>
      <c r="B103" s="335">
        <v>173</v>
      </c>
    </row>
    <row r="104" spans="1:6">
      <c r="A104" s="1212" t="s">
        <v>78</v>
      </c>
      <c r="B104" s="335">
        <v>4601</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156</v>
      </c>
    </row>
    <row r="130" spans="1:6">
      <c r="A130" s="1212" t="s">
        <v>295</v>
      </c>
      <c r="B130" s="335">
        <v>1</v>
      </c>
    </row>
    <row r="131" spans="1:6">
      <c r="A131" s="1212" t="s">
        <v>296</v>
      </c>
      <c r="B131" s="335">
        <v>0</v>
      </c>
    </row>
    <row r="132" spans="1:6">
      <c r="A132" s="1208" t="s">
        <v>297</v>
      </c>
      <c r="B132" s="338">
        <v>16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123563.56941063546</v>
      </c>
      <c r="C3" s="43" t="s">
        <v>170</v>
      </c>
      <c r="D3" s="43"/>
      <c r="E3" s="156"/>
      <c r="F3" s="43"/>
      <c r="G3" s="43"/>
      <c r="H3" s="43"/>
      <c r="I3" s="43"/>
      <c r="J3" s="43"/>
      <c r="K3" s="96"/>
    </row>
    <row r="4" spans="1:11">
      <c r="A4" s="366" t="s">
        <v>171</v>
      </c>
      <c r="B4" s="49">
        <f>IF(ISERROR('SEAP template'!B69),0,'SEAP template'!B69)</f>
        <v>24801.868118161059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5.8817647058823539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0.17668814404177907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8.4025210084033635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35.357142857142861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1654.1769999999999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1654.1769999999999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0.17668814404177907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292.27346404659795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45407.42</v>
      </c>
      <c r="C5" s="17">
        <f>IF(ISERROR('Eigen informatie GS &amp; warmtenet'!B57),0,'Eigen informatie GS &amp; warmtenet'!B57)</f>
        <v>0</v>
      </c>
      <c r="D5" s="30">
        <f>(SUM(HH_hh_gas_kWh,HH_rest_gas_kWh)/1000)*0.902</f>
        <v>128216.001386</v>
      </c>
      <c r="E5" s="17">
        <f>B46*B57</f>
        <v>3670.8825993838132</v>
      </c>
      <c r="F5" s="17">
        <f>B51*B62</f>
        <v>40787.736330640582</v>
      </c>
      <c r="G5" s="18"/>
      <c r="H5" s="17"/>
      <c r="I5" s="17"/>
      <c r="J5" s="17">
        <f>B50*B61+C50*C61</f>
        <v>0</v>
      </c>
      <c r="K5" s="17"/>
      <c r="L5" s="17"/>
      <c r="M5" s="17"/>
      <c r="N5" s="17">
        <f>B48*B59+C48*C59</f>
        <v>13449.102436065339</v>
      </c>
      <c r="O5" s="17">
        <f>B69*B70*B71</f>
        <v>261.07666666666665</v>
      </c>
      <c r="P5" s="17">
        <f>B77*B78*B79/1000-B77*B78*B79/1000/B80</f>
        <v>514.79999999999995</v>
      </c>
    </row>
    <row r="6" spans="1:16">
      <c r="A6" s="16" t="s">
        <v>634</v>
      </c>
      <c r="B6" s="831">
        <f>kWh_PV_kleiner_dan_10kW</f>
        <v>5815.9163120368539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51223.336312036852</v>
      </c>
      <c r="C8" s="21">
        <f>C5</f>
        <v>0</v>
      </c>
      <c r="D8" s="21">
        <f>D5</f>
        <v>128216.001386</v>
      </c>
      <c r="E8" s="21">
        <f>E5</f>
        <v>3670.8825993838132</v>
      </c>
      <c r="F8" s="21">
        <f>F5</f>
        <v>40787.736330640582</v>
      </c>
      <c r="G8" s="21"/>
      <c r="H8" s="21"/>
      <c r="I8" s="21"/>
      <c r="J8" s="21">
        <f>J5</f>
        <v>0</v>
      </c>
      <c r="K8" s="21"/>
      <c r="L8" s="21">
        <f>L5</f>
        <v>0</v>
      </c>
      <c r="M8" s="21">
        <f>M5</f>
        <v>0</v>
      </c>
      <c r="N8" s="21">
        <f>N5</f>
        <v>13449.102436065339</v>
      </c>
      <c r="O8" s="21">
        <f>O5</f>
        <v>261.07666666666665</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0.17668814404177907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9050.5562246016598</v>
      </c>
      <c r="C12" s="23">
        <f ca="1">C10*C8</f>
        <v>0</v>
      </c>
      <c r="D12" s="23">
        <f>D8*D10</f>
        <v>25899.632279972004</v>
      </c>
      <c r="E12" s="23">
        <f>E10*E8</f>
        <v>833.29035006012566</v>
      </c>
      <c r="F12" s="23">
        <f>F10*F8</f>
        <v>10890.325600281036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3561</v>
      </c>
      <c r="C18" s="168" t="s">
        <v>111</v>
      </c>
      <c r="D18" s="230"/>
      <c r="E18" s="15"/>
    </row>
    <row r="19" spans="1:7">
      <c r="A19" s="173" t="s">
        <v>72</v>
      </c>
      <c r="B19" s="37">
        <f>aantalw2001_ander</f>
        <v>4</v>
      </c>
      <c r="C19" s="168" t="s">
        <v>111</v>
      </c>
      <c r="D19" s="231"/>
      <c r="E19" s="15"/>
    </row>
    <row r="20" spans="1:7">
      <c r="A20" s="173" t="s">
        <v>73</v>
      </c>
      <c r="B20" s="37">
        <f>aantalw2001_propaan</f>
        <v>44</v>
      </c>
      <c r="C20" s="169">
        <f>IF(ISERROR(B20/SUM($B$20,$B$21,$B$22)*100),0,B20/SUM($B$20,$B$21,$B$22)*100)</f>
        <v>8.2706766917293226</v>
      </c>
      <c r="D20" s="231"/>
      <c r="E20" s="15"/>
    </row>
    <row r="21" spans="1:7">
      <c r="A21" s="173" t="s">
        <v>74</v>
      </c>
      <c r="B21" s="37">
        <f>aantalw2001_elektriciteit</f>
        <v>445</v>
      </c>
      <c r="C21" s="169">
        <f>IF(ISERROR(B21/SUM($B$20,$B$21,$B$22)*100),0,B21/SUM($B$20,$B$21,$B$22)*100)</f>
        <v>83.646616541353382</v>
      </c>
      <c r="D21" s="231"/>
      <c r="E21" s="15"/>
    </row>
    <row r="22" spans="1:7">
      <c r="A22" s="173" t="s">
        <v>75</v>
      </c>
      <c r="B22" s="37">
        <f>aantalw2001_hout</f>
        <v>43</v>
      </c>
      <c r="C22" s="169">
        <f>IF(ISERROR(B22/SUM($B$20,$B$21,$B$22)*100),0,B22/SUM($B$20,$B$21,$B$22)*100)</f>
        <v>8.0827067669172923</v>
      </c>
      <c r="D22" s="231"/>
      <c r="E22" s="15"/>
    </row>
    <row r="23" spans="1:7">
      <c r="A23" s="173" t="s">
        <v>76</v>
      </c>
      <c r="B23" s="37">
        <f>aantalw2001_niet_gespec</f>
        <v>124</v>
      </c>
      <c r="C23" s="168" t="s">
        <v>111</v>
      </c>
      <c r="D23" s="230"/>
      <c r="E23" s="15"/>
    </row>
    <row r="24" spans="1:7">
      <c r="A24" s="173" t="s">
        <v>77</v>
      </c>
      <c r="B24" s="37">
        <f>aantalw2001_steenkool</f>
        <v>173</v>
      </c>
      <c r="C24" s="168" t="s">
        <v>111</v>
      </c>
      <c r="D24" s="231"/>
      <c r="E24" s="15"/>
    </row>
    <row r="25" spans="1:7">
      <c r="A25" s="173" t="s">
        <v>78</v>
      </c>
      <c r="B25" s="37">
        <f>aantalw2001_stookolie</f>
        <v>4601</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10651</v>
      </c>
      <c r="C28" s="36"/>
      <c r="D28" s="230"/>
    </row>
    <row r="29" spans="1:7" s="15" customFormat="1">
      <c r="A29" s="232" t="s">
        <v>746</v>
      </c>
      <c r="B29" s="37">
        <f>SUM(HH_hh_gas_aantal,HH_rest_gas_aantal)</f>
        <v>6881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6881</v>
      </c>
      <c r="C32" s="169">
        <f>IF(ISERROR(B32/SUM($B$32,$B$34,$B$35,$B$36,$B$38,$B$39)*100),0,B32/SUM($B$32,$B$34,$B$35,$B$36,$B$38,$B$39)*100)</f>
        <v>64.768448795180717</v>
      </c>
      <c r="D32" s="235"/>
      <c r="G32" s="15"/>
    </row>
    <row r="33" spans="1:7">
      <c r="A33" s="173" t="s">
        <v>72</v>
      </c>
      <c r="B33" s="34" t="s">
        <v>111</v>
      </c>
      <c r="C33" s="169"/>
      <c r="D33" s="235"/>
      <c r="G33" s="15"/>
    </row>
    <row r="34" spans="1:7">
      <c r="A34" s="173" t="s">
        <v>73</v>
      </c>
      <c r="B34" s="33">
        <f>IF((($B$28-$B$32-$B$39-$B$77-$B$38)*C20/100)&lt;0,0,($B$28-$B$32-$B$39-$B$77-$B$38)*C20/100)</f>
        <v>176.16541353383457</v>
      </c>
      <c r="C34" s="169">
        <f>IF(ISERROR(B34/SUM($B$32,$B$34,$B$35,$B$36,$B$38,$B$39)*100),0,B34/SUM($B$32,$B$34,$B$35,$B$36,$B$38,$B$39)*100)</f>
        <v>1.6581834858229911</v>
      </c>
      <c r="D34" s="235"/>
      <c r="G34" s="15"/>
    </row>
    <row r="35" spans="1:7">
      <c r="A35" s="173" t="s">
        <v>74</v>
      </c>
      <c r="B35" s="33">
        <f>IF((($B$28-$B$32-$B$39-$B$77-$B$38)*C21/100)&lt;0,0,($B$28-$B$32-$B$39-$B$77-$B$38)*C21/100)</f>
        <v>1781.6729323308273</v>
      </c>
      <c r="C35" s="169">
        <f>IF(ISERROR(B35/SUM($B$32,$B$34,$B$35,$B$36,$B$38,$B$39)*100),0,B35/SUM($B$32,$B$34,$B$35,$B$36,$B$38,$B$39)*100)</f>
        <v>16.770264799800707</v>
      </c>
      <c r="D35" s="235"/>
      <c r="G35" s="15"/>
    </row>
    <row r="36" spans="1:7">
      <c r="A36" s="173" t="s">
        <v>75</v>
      </c>
      <c r="B36" s="33">
        <f>IF((($B$28-$B$32-$B$39-$B$77-$B$38)*C22/100)&lt;0,0,($B$28-$B$32-$B$39-$B$77-$B$38)*C22/100)</f>
        <v>172.16165413533832</v>
      </c>
      <c r="C36" s="169">
        <f>IF(ISERROR(B36/SUM($B$32,$B$34,$B$35,$B$36,$B$38,$B$39)*100),0,B36/SUM($B$32,$B$34,$B$35,$B$36,$B$38,$B$39)*100)</f>
        <v>1.620497497508832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1613</v>
      </c>
      <c r="C39" s="169">
        <f>IF(ISERROR(B39/SUM($B$32,$B$34,$B$35,$B$36,$B$38,$B$39)*100),0,B39/SUM($B$32,$B$34,$B$35,$B$36,$B$38,$B$39)*100)</f>
        <v>15.182605421686745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6881</v>
      </c>
      <c r="C44" s="34" t="s">
        <v>111</v>
      </c>
      <c r="D44" s="176"/>
    </row>
    <row r="45" spans="1:7">
      <c r="A45" s="173" t="s">
        <v>72</v>
      </c>
      <c r="B45" s="33" t="str">
        <f t="shared" si="0"/>
        <v>-</v>
      </c>
      <c r="C45" s="34" t="s">
        <v>111</v>
      </c>
      <c r="D45" s="176"/>
    </row>
    <row r="46" spans="1:7">
      <c r="A46" s="173" t="s">
        <v>73</v>
      </c>
      <c r="B46" s="33">
        <f t="shared" si="0"/>
        <v>176.16541353383457</v>
      </c>
      <c r="C46" s="34" t="s">
        <v>111</v>
      </c>
      <c r="D46" s="176"/>
    </row>
    <row r="47" spans="1:7">
      <c r="A47" s="173" t="s">
        <v>74</v>
      </c>
      <c r="B47" s="33">
        <f t="shared" si="0"/>
        <v>1781.6729323308273</v>
      </c>
      <c r="C47" s="34" t="s">
        <v>111</v>
      </c>
      <c r="D47" s="176"/>
    </row>
    <row r="48" spans="1:7">
      <c r="A48" s="173" t="s">
        <v>75</v>
      </c>
      <c r="B48" s="33">
        <f t="shared" si="0"/>
        <v>172.16165413533832</v>
      </c>
      <c r="C48" s="33">
        <f>B48*10</f>
        <v>1721.6165413533831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1613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31855.088999999996</v>
      </c>
      <c r="C5" s="17">
        <f>IF(ISERROR('Eigen informatie GS &amp; warmtenet'!B58),0,'Eigen informatie GS &amp; warmtenet'!B58)</f>
        <v>0</v>
      </c>
      <c r="D5" s="30">
        <f>SUM(D6:D12)</f>
        <v>93810.162093999999</v>
      </c>
      <c r="E5" s="17">
        <f>SUM(E6:E12)</f>
        <v>514.03132399273386</v>
      </c>
      <c r="F5" s="17">
        <f>SUM(F6:F12)</f>
        <v>6496.4535822927328</v>
      </c>
      <c r="G5" s="18"/>
      <c r="H5" s="17"/>
      <c r="I5" s="17"/>
      <c r="J5" s="17">
        <f>SUM(J6:J12)</f>
        <v>0</v>
      </c>
      <c r="K5" s="17"/>
      <c r="L5" s="17"/>
      <c r="M5" s="17"/>
      <c r="N5" s="17">
        <f>SUM(N6:N12)</f>
        <v>2338.0501100211277</v>
      </c>
      <c r="O5" s="17">
        <f>B38*B39*B40</f>
        <v>1.5633333333333335</v>
      </c>
      <c r="P5" s="17">
        <f>B46*B47*B48/1000-B46*B47*B48/1000/B49</f>
        <v>0</v>
      </c>
      <c r="R5" s="32"/>
    </row>
    <row r="6" spans="1:18">
      <c r="A6" s="32" t="s">
        <v>54</v>
      </c>
      <c r="B6" s="37">
        <f>B26</f>
        <v>9127.7450000000008</v>
      </c>
      <c r="C6" s="33"/>
      <c r="D6" s="37">
        <f>IF(ISERROR(TER_kantoor_gas_kWh/1000),0,TER_kantoor_gas_kWh/1000)*0.902</f>
        <v>5913.7519320000001</v>
      </c>
      <c r="E6" s="33">
        <f>$C$26*'E Balans VL '!I12/100/3.6*1000000</f>
        <v>35.463221781210763</v>
      </c>
      <c r="F6" s="33">
        <f>$C$26*('E Balans VL '!L12+'E Balans VL '!N12)/100/3.6*1000000</f>
        <v>1388.2469586422876</v>
      </c>
      <c r="G6" s="34"/>
      <c r="H6" s="33"/>
      <c r="I6" s="33"/>
      <c r="J6" s="33">
        <f>$C$26*('E Balans VL '!D12+'E Balans VL '!E12)/100/3.6*1000000</f>
        <v>0</v>
      </c>
      <c r="K6" s="33"/>
      <c r="L6" s="33"/>
      <c r="M6" s="33"/>
      <c r="N6" s="33">
        <f>$C$26*'E Balans VL '!Y12/100/3.6*1000000</f>
        <v>5.0304809719220067</v>
      </c>
      <c r="O6" s="33"/>
      <c r="P6" s="33"/>
      <c r="R6" s="32"/>
    </row>
    <row r="7" spans="1:18">
      <c r="A7" s="32" t="s">
        <v>53</v>
      </c>
      <c r="B7" s="37">
        <f t="shared" ref="B7:B12" si="0">B27</f>
        <v>5734.5230000000001</v>
      </c>
      <c r="C7" s="33"/>
      <c r="D7" s="37">
        <f>IF(ISERROR(TER_horeca_gas_kWh/1000),0,TER_horeca_gas_kWh/1000)*0.902</f>
        <v>4947.1236319999998</v>
      </c>
      <c r="E7" s="33">
        <f>$C$27*'E Balans VL '!I9/100/3.6*1000000</f>
        <v>323.02721374743282</v>
      </c>
      <c r="F7" s="33">
        <f>$C$27*('E Balans VL '!L9+'E Balans VL '!N9)/100/3.6*1000000</f>
        <v>1653.4931143165006</v>
      </c>
      <c r="G7" s="34"/>
      <c r="H7" s="33"/>
      <c r="I7" s="33"/>
      <c r="J7" s="33">
        <f>$C$27*('E Balans VL '!D9+'E Balans VL '!E9)/100/3.6*1000000</f>
        <v>0</v>
      </c>
      <c r="K7" s="33"/>
      <c r="L7" s="33"/>
      <c r="M7" s="33"/>
      <c r="N7" s="33">
        <f>$C$27*'E Balans VL '!Y9/100/3.6*1000000</f>
        <v>1.5832720009147594</v>
      </c>
      <c r="O7" s="33"/>
      <c r="P7" s="33"/>
      <c r="R7" s="32"/>
    </row>
    <row r="8" spans="1:18">
      <c r="A8" s="6" t="s">
        <v>52</v>
      </c>
      <c r="B8" s="37">
        <f t="shared" si="0"/>
        <v>9441.2829999999994</v>
      </c>
      <c r="C8" s="33"/>
      <c r="D8" s="37">
        <f>IF(ISERROR(TER_handel_gas_kWh/1000),0,TER_handel_gas_kWh/1000)*0.902</f>
        <v>76247.797252000004</v>
      </c>
      <c r="E8" s="33">
        <f>$C$28*'E Balans VL '!I13/100/3.6*1000000</f>
        <v>136.08091911690497</v>
      </c>
      <c r="F8" s="33">
        <f>$C$28*('E Balans VL '!L13+'E Balans VL '!N13)/100/3.6*1000000</f>
        <v>1640.1707297443163</v>
      </c>
      <c r="G8" s="34"/>
      <c r="H8" s="33"/>
      <c r="I8" s="33"/>
      <c r="J8" s="33">
        <f>$C$28*('E Balans VL '!D13+'E Balans VL '!E13)/100/3.6*1000000</f>
        <v>0</v>
      </c>
      <c r="K8" s="33"/>
      <c r="L8" s="33"/>
      <c r="M8" s="33"/>
      <c r="N8" s="33">
        <f>$C$28*'E Balans VL '!Y13/100/3.6*1000000</f>
        <v>28.287134893274835</v>
      </c>
      <c r="O8" s="33"/>
      <c r="P8" s="33"/>
      <c r="R8" s="32"/>
    </row>
    <row r="9" spans="1:18">
      <c r="A9" s="32" t="s">
        <v>51</v>
      </c>
      <c r="B9" s="37">
        <f t="shared" si="0"/>
        <v>3562.6509999999998</v>
      </c>
      <c r="C9" s="33"/>
      <c r="D9" s="37">
        <f>IF(ISERROR(TER_gezond_gas_kWh/1000),0,TER_gezond_gas_kWh/1000)*0.902</f>
        <v>2145.105732</v>
      </c>
      <c r="E9" s="33">
        <f>$C$29*'E Balans VL '!I10/100/3.6*1000000</f>
        <v>3.8058346732282171</v>
      </c>
      <c r="F9" s="33">
        <f>$C$29*('E Balans VL '!L10+'E Balans VL '!N10)/100/3.6*1000000</f>
        <v>581.1766511268612</v>
      </c>
      <c r="G9" s="34"/>
      <c r="H9" s="33"/>
      <c r="I9" s="33"/>
      <c r="J9" s="33">
        <f>$C$29*('E Balans VL '!D10+'E Balans VL '!E10)/100/3.6*1000000</f>
        <v>0</v>
      </c>
      <c r="K9" s="33"/>
      <c r="L9" s="33"/>
      <c r="M9" s="33"/>
      <c r="N9" s="33">
        <f>$C$29*'E Balans VL '!Y10/100/3.6*1000000</f>
        <v>36.675459236894532</v>
      </c>
      <c r="O9" s="33"/>
      <c r="P9" s="33"/>
      <c r="R9" s="32"/>
    </row>
    <row r="10" spans="1:18">
      <c r="A10" s="32" t="s">
        <v>50</v>
      </c>
      <c r="B10" s="37">
        <f t="shared" si="0"/>
        <v>3256.1190000000001</v>
      </c>
      <c r="C10" s="33"/>
      <c r="D10" s="37">
        <f>IF(ISERROR(TER_ander_gas_kWh/1000),0,TER_ander_gas_kWh/1000)*0.902</f>
        <v>3240.0254919999998</v>
      </c>
      <c r="E10" s="33">
        <f>$C$30*'E Balans VL '!I14/100/3.6*1000000</f>
        <v>14.974395988532738</v>
      </c>
      <c r="F10" s="33">
        <f>$C$30*('E Balans VL '!L14+'E Balans VL '!N14)/100/3.6*1000000</f>
        <v>975.96157152441037</v>
      </c>
      <c r="G10" s="34"/>
      <c r="H10" s="33"/>
      <c r="I10" s="33"/>
      <c r="J10" s="33">
        <f>$C$30*('E Balans VL '!D14+'E Balans VL '!E14)/100/3.6*1000000</f>
        <v>0</v>
      </c>
      <c r="K10" s="33"/>
      <c r="L10" s="33"/>
      <c r="M10" s="33"/>
      <c r="N10" s="33">
        <f>$C$30*'E Balans VL '!Y14/100/3.6*1000000</f>
        <v>2266.4737629181213</v>
      </c>
      <c r="O10" s="33"/>
      <c r="P10" s="33"/>
      <c r="R10" s="32"/>
    </row>
    <row r="11" spans="1:18">
      <c r="A11" s="32" t="s">
        <v>55</v>
      </c>
      <c r="B11" s="37">
        <f t="shared" si="0"/>
        <v>732.76800000000003</v>
      </c>
      <c r="C11" s="33"/>
      <c r="D11" s="37">
        <f>IF(ISERROR(TER_onderwijs_gas_kWh/1000),0,TER_onderwijs_gas_kWh/1000)*0.902</f>
        <v>1316.358054</v>
      </c>
      <c r="E11" s="33">
        <f>$C$31*'E Balans VL '!I11/100/3.6*1000000</f>
        <v>0.67973868542440141</v>
      </c>
      <c r="F11" s="33">
        <f>$C$31*('E Balans VL '!L11+'E Balans VL '!N11)/100/3.6*1000000</f>
        <v>257.4045569383573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24.75</v>
      </c>
      <c r="C13" s="249">
        <f ca="1">'lokale energieproductie'!O90+'lokale energieproductie'!O59</f>
        <v>35.357142857142861</v>
      </c>
      <c r="D13" s="312">
        <f ca="1">('lokale energieproductie'!P59+'lokale energieproductie'!P90)*(-1)</f>
        <v>-70.714285714285722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31879.838999999996</v>
      </c>
      <c r="C16" s="21">
        <f t="shared" ca="1" si="1"/>
        <v>35.357142857142861</v>
      </c>
      <c r="D16" s="21">
        <f t="shared" ca="1" si="1"/>
        <v>93739.447808285709</v>
      </c>
      <c r="E16" s="21">
        <f t="shared" si="1"/>
        <v>514.03132399273386</v>
      </c>
      <c r="F16" s="21">
        <f t="shared" ca="1" si="1"/>
        <v>6496.4535822927328</v>
      </c>
      <c r="G16" s="21">
        <f t="shared" si="1"/>
        <v>0</v>
      </c>
      <c r="H16" s="21">
        <f t="shared" si="1"/>
        <v>0</v>
      </c>
      <c r="I16" s="21">
        <f t="shared" si="1"/>
        <v>0</v>
      </c>
      <c r="J16" s="21">
        <f t="shared" si="1"/>
        <v>0</v>
      </c>
      <c r="K16" s="21">
        <f t="shared" si="1"/>
        <v>0</v>
      </c>
      <c r="L16" s="21">
        <f t="shared" ca="1" si="1"/>
        <v>0</v>
      </c>
      <c r="M16" s="21">
        <f t="shared" si="1"/>
        <v>0</v>
      </c>
      <c r="N16" s="21">
        <f t="shared" ca="1" si="1"/>
        <v>2338.0501100211277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0.17668814404177907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5632.7895852607253</v>
      </c>
      <c r="C20" s="23">
        <f t="shared" ref="C20:P20" ca="1" si="2">C16*C18</f>
        <v>8.4025210084033635</v>
      </c>
      <c r="D20" s="23">
        <f t="shared" ca="1" si="2"/>
        <v>18935.368457273715</v>
      </c>
      <c r="E20" s="23">
        <f t="shared" si="2"/>
        <v>116.68511054635059</v>
      </c>
      <c r="F20" s="23">
        <f t="shared" ca="1" si="2"/>
        <v>1734.5531064721597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9127.7450000000008</v>
      </c>
      <c r="C26" s="39">
        <f>IF(ISERROR(B26*3.6/1000000/'E Balans VL '!Z12*100),0,B26*3.6/1000000/'E Balans VL '!Z12*100)</f>
        <v>0.19387782509711243</v>
      </c>
      <c r="D26" s="239" t="s">
        <v>692</v>
      </c>
      <c r="F26" s="6"/>
    </row>
    <row r="27" spans="1:18">
      <c r="A27" s="233" t="s">
        <v>53</v>
      </c>
      <c r="B27" s="33">
        <f>IF(ISERROR(TER_horeca_ele_kWh/1000),0,TER_horeca_ele_kWh/1000)</f>
        <v>5734.5230000000001</v>
      </c>
      <c r="C27" s="39">
        <f>IF(ISERROR(B27*3.6/1000000/'E Balans VL '!Z9*100),0,B27*3.6/1000000/'E Balans VL '!Z9*100)</f>
        <v>0.44589408694405896</v>
      </c>
      <c r="D27" s="239" t="s">
        <v>692</v>
      </c>
      <c r="F27" s="6"/>
    </row>
    <row r="28" spans="1:18">
      <c r="A28" s="173" t="s">
        <v>52</v>
      </c>
      <c r="B28" s="33">
        <f>IF(ISERROR(TER_handel_ele_kWh/1000),0,TER_handel_ele_kWh/1000)</f>
        <v>9441.2829999999994</v>
      </c>
      <c r="C28" s="39">
        <f>IF(ISERROR(B28*3.6/1000000/'E Balans VL '!Z13*100),0,B28*3.6/1000000/'E Balans VL '!Z13*100)</f>
        <v>0.27012621790857333</v>
      </c>
      <c r="D28" s="239" t="s">
        <v>692</v>
      </c>
      <c r="F28" s="6"/>
    </row>
    <row r="29" spans="1:18">
      <c r="A29" s="233" t="s">
        <v>51</v>
      </c>
      <c r="B29" s="33">
        <f>IF(ISERROR(TER_gezond_ele_kWh/1000),0,TER_gezond_ele_kWh/1000)</f>
        <v>3562.6509999999998</v>
      </c>
      <c r="C29" s="39">
        <f>IF(ISERROR(B29*3.6/1000000/'E Balans VL '!Z10*100),0,B29*3.6/1000000/'E Balans VL '!Z10*100)</f>
        <v>0.38841174508055415</v>
      </c>
      <c r="D29" s="239" t="s">
        <v>692</v>
      </c>
      <c r="F29" s="6"/>
    </row>
    <row r="30" spans="1:18">
      <c r="A30" s="233" t="s">
        <v>50</v>
      </c>
      <c r="B30" s="33">
        <f>IF(ISERROR(TER_ander_ele_kWh/1000),0,TER_ander_ele_kWh/1000)</f>
        <v>3256.1190000000001</v>
      </c>
      <c r="C30" s="39">
        <f>IF(ISERROR(B30*3.6/1000000/'E Balans VL '!Z14*100),0,B30*3.6/1000000/'E Balans VL '!Z14*100)</f>
        <v>0.23827540208914477</v>
      </c>
      <c r="D30" s="239" t="s">
        <v>692</v>
      </c>
      <c r="F30" s="6"/>
    </row>
    <row r="31" spans="1:18">
      <c r="A31" s="233" t="s">
        <v>55</v>
      </c>
      <c r="B31" s="33">
        <f>IF(ISERROR(TER_onderwijs_ele_kWh/1000),0,TER_onderwijs_ele_kWh/1000)</f>
        <v>732.76800000000003</v>
      </c>
      <c r="C31" s="39">
        <f>IF(ISERROR(B31*3.6/1000000/'E Balans VL '!Z11*100),0,B31*3.6/1000000/'E Balans VL '!Z11*100)</f>
        <v>0.14717699693851224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37673.83</v>
      </c>
      <c r="C5" s="17">
        <f>IF(ISERROR('Eigen informatie GS &amp; warmtenet'!B59),0,'Eigen informatie GS &amp; warmtenet'!B59)</f>
        <v>0</v>
      </c>
      <c r="D5" s="30">
        <f>SUM(D6:D15)</f>
        <v>30794.355767999998</v>
      </c>
      <c r="E5" s="17">
        <f>SUM(E6:E15)</f>
        <v>2770.72475631928</v>
      </c>
      <c r="F5" s="17">
        <f>SUM(F6:F15)</f>
        <v>13391.268266388986</v>
      </c>
      <c r="G5" s="18"/>
      <c r="H5" s="17"/>
      <c r="I5" s="17"/>
      <c r="J5" s="17">
        <f>SUM(J6:J15)</f>
        <v>108.00800240695561</v>
      </c>
      <c r="K5" s="17"/>
      <c r="L5" s="17"/>
      <c r="M5" s="17"/>
      <c r="N5" s="17">
        <f>SUM(N6:N15)</f>
        <v>6640.6289066581521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314.23200000000003</v>
      </c>
      <c r="C8" s="33"/>
      <c r="D8" s="37">
        <f>IF( ISERROR(IND_metaal_Gas_kWH/1000),0,IND_metaal_Gas_kWH/1000)*0.902</f>
        <v>273.95002800000003</v>
      </c>
      <c r="E8" s="33">
        <f>C30*'E Balans VL '!I18/100/3.6*1000000</f>
        <v>9.0259225222308199</v>
      </c>
      <c r="F8" s="33">
        <f>C30*'E Balans VL '!L18/100/3.6*1000000+C30*'E Balans VL '!N18/100/3.6*1000000</f>
        <v>80.594464450113676</v>
      </c>
      <c r="G8" s="34"/>
      <c r="H8" s="33"/>
      <c r="I8" s="33"/>
      <c r="J8" s="40">
        <f>C30*'E Balans VL '!D18/100/3.6*1000000+C30*'E Balans VL '!E18/100/3.6*1000000</f>
        <v>0</v>
      </c>
      <c r="K8" s="33"/>
      <c r="L8" s="33"/>
      <c r="M8" s="33"/>
      <c r="N8" s="33">
        <f>C30*'E Balans VL '!Y18/100/3.6*1000000</f>
        <v>8.5320402383895289</v>
      </c>
      <c r="O8" s="33"/>
      <c r="P8" s="33"/>
      <c r="R8" s="32"/>
    </row>
    <row r="9" spans="1:18">
      <c r="A9" s="6" t="s">
        <v>33</v>
      </c>
      <c r="B9" s="37">
        <f t="shared" si="0"/>
        <v>5346.0969999999998</v>
      </c>
      <c r="C9" s="33"/>
      <c r="D9" s="37">
        <f>IF( ISERROR(IND_andere_gas_kWh/1000),0,IND_andere_gas_kWh/1000)*0.902</f>
        <v>1876.1581960000001</v>
      </c>
      <c r="E9" s="33">
        <f>C31*'E Balans VL '!I19/100/3.6*1000000</f>
        <v>1447.0570131968336</v>
      </c>
      <c r="F9" s="33">
        <f>C31*'E Balans VL '!L19/100/3.6*1000000+C31*'E Balans VL '!N19/100/3.6*1000000</f>
        <v>3561.066337239175</v>
      </c>
      <c r="G9" s="34"/>
      <c r="H9" s="33"/>
      <c r="I9" s="33"/>
      <c r="J9" s="40">
        <f>C31*'E Balans VL '!D19/100/3.6*1000000+C31*'E Balans VL '!E19/100/3.6*1000000</f>
        <v>0</v>
      </c>
      <c r="K9" s="33"/>
      <c r="L9" s="33"/>
      <c r="M9" s="33"/>
      <c r="N9" s="33">
        <f>C31*'E Balans VL '!Y19/100/3.6*1000000</f>
        <v>1745.4118642260357</v>
      </c>
      <c r="O9" s="33"/>
      <c r="P9" s="33"/>
      <c r="R9" s="32"/>
    </row>
    <row r="10" spans="1:18">
      <c r="A10" s="6" t="s">
        <v>41</v>
      </c>
      <c r="B10" s="37">
        <f t="shared" si="0"/>
        <v>716.37699999999995</v>
      </c>
      <c r="C10" s="33"/>
      <c r="D10" s="37">
        <f>IF( ISERROR(IND_voed_gas_kWh/1000),0,IND_voed_gas_kWh/1000)*0.902</f>
        <v>475.28454600000003</v>
      </c>
      <c r="E10" s="33">
        <f>C32*'E Balans VL '!I20/100/3.6*1000000</f>
        <v>58.42935395333069</v>
      </c>
      <c r="F10" s="33">
        <f>C32*'E Balans VL '!L20/100/3.6*1000000+C32*'E Balans VL '!N20/100/3.6*1000000</f>
        <v>1068.1831024164223</v>
      </c>
      <c r="G10" s="34"/>
      <c r="H10" s="33"/>
      <c r="I10" s="33"/>
      <c r="J10" s="40">
        <f>C32*'E Balans VL '!D20/100/3.6*1000000+C32*'E Balans VL '!E20/100/3.6*1000000</f>
        <v>9.4767981449746779E-3</v>
      </c>
      <c r="K10" s="33"/>
      <c r="L10" s="33"/>
      <c r="M10" s="33"/>
      <c r="N10" s="33">
        <f>C32*'E Balans VL '!Y20/100/3.6*1000000</f>
        <v>210.44628438136621</v>
      </c>
      <c r="O10" s="33"/>
      <c r="P10" s="33"/>
      <c r="R10" s="32"/>
    </row>
    <row r="11" spans="1:18">
      <c r="A11" s="6" t="s">
        <v>40</v>
      </c>
      <c r="B11" s="37">
        <f t="shared" si="0"/>
        <v>143.00399999999999</v>
      </c>
      <c r="C11" s="33"/>
      <c r="D11" s="37">
        <f>IF( ISERROR(IND_textiel_gas_kWh/1000),0,IND_textiel_gas_kWh/1000)*0.902</f>
        <v>551.23835800000006</v>
      </c>
      <c r="E11" s="33">
        <f>C33*'E Balans VL '!I21/100/3.6*1000000</f>
        <v>2.8346318620332628E-2</v>
      </c>
      <c r="F11" s="33">
        <f>C33*'E Balans VL '!L21/100/3.6*1000000+C33*'E Balans VL '!N21/100/3.6*1000000</f>
        <v>5.2670098548767852</v>
      </c>
      <c r="G11" s="34"/>
      <c r="H11" s="33"/>
      <c r="I11" s="33"/>
      <c r="J11" s="40">
        <f>C33*'E Balans VL '!D21/100/3.6*1000000+C33*'E Balans VL '!E21/100/3.6*1000000</f>
        <v>0</v>
      </c>
      <c r="K11" s="33"/>
      <c r="L11" s="33"/>
      <c r="M11" s="33"/>
      <c r="N11" s="33">
        <f>C33*'E Balans VL '!Y21/100/3.6*1000000</f>
        <v>0.66493249980615976</v>
      </c>
      <c r="O11" s="33"/>
      <c r="P11" s="33"/>
      <c r="R11" s="32"/>
    </row>
    <row r="12" spans="1:18">
      <c r="A12" s="6" t="s">
        <v>37</v>
      </c>
      <c r="B12" s="37">
        <f t="shared" si="0"/>
        <v>9802.8019999999997</v>
      </c>
      <c r="C12" s="33"/>
      <c r="D12" s="37">
        <f>IF( ISERROR(IND_min_gas_kWh/1000),0,IND_min_gas_kWh/1000)*0.902</f>
        <v>466.49185</v>
      </c>
      <c r="E12" s="33">
        <f>C34*'E Balans VL '!I22/100/3.6*1000000</f>
        <v>76.361691640361641</v>
      </c>
      <c r="F12" s="33">
        <f>C34*'E Balans VL '!L22/100/3.6*1000000+C34*'E Balans VL '!N22/100/3.6*1000000</f>
        <v>3697.0145138184344</v>
      </c>
      <c r="G12" s="34"/>
      <c r="H12" s="33"/>
      <c r="I12" s="33"/>
      <c r="J12" s="40">
        <f>C34*'E Balans VL '!D22/100/3.6*1000000+C34*'E Balans VL '!E22/100/3.6*1000000</f>
        <v>53.914553912324074</v>
      </c>
      <c r="K12" s="33"/>
      <c r="L12" s="33"/>
      <c r="M12" s="33"/>
      <c r="N12" s="33">
        <f>C34*'E Balans VL '!Y22/100/3.6*1000000</f>
        <v>0</v>
      </c>
      <c r="O12" s="33"/>
      <c r="P12" s="33"/>
      <c r="R12" s="32"/>
    </row>
    <row r="13" spans="1:18">
      <c r="A13" s="6" t="s">
        <v>39</v>
      </c>
      <c r="B13" s="37">
        <f t="shared" si="0"/>
        <v>250.01300000000001</v>
      </c>
      <c r="C13" s="33"/>
      <c r="D13" s="37">
        <f>IF( ISERROR(IND_papier_gas_kWh/1000),0,IND_papier_gas_kWh/1000)*0.902</f>
        <v>133.227204</v>
      </c>
      <c r="E13" s="33">
        <f>C35*'E Balans VL '!I23/100/3.6*1000000</f>
        <v>2.6193416431005576</v>
      </c>
      <c r="F13" s="33">
        <f>C35*'E Balans VL '!L23/100/3.6*1000000+C35*'E Balans VL '!N23/100/3.6*1000000</f>
        <v>18.656014373812454</v>
      </c>
      <c r="G13" s="34"/>
      <c r="H13" s="33"/>
      <c r="I13" s="33"/>
      <c r="J13" s="40">
        <f>C35*'E Balans VL '!D23/100/3.6*1000000+C35*'E Balans VL '!E23/100/3.6*1000000</f>
        <v>0</v>
      </c>
      <c r="K13" s="33"/>
      <c r="L13" s="33"/>
      <c r="M13" s="33"/>
      <c r="N13" s="33">
        <f>C35*'E Balans VL '!Y23/100/3.6*1000000</f>
        <v>534.3766919359465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21101.305</v>
      </c>
      <c r="C15" s="33"/>
      <c r="D15" s="37">
        <f>IF( ISERROR(IND_rest_gas_kWh/1000),0,IND_rest_gas_kWh/1000)*0.902</f>
        <v>27018.005585999999</v>
      </c>
      <c r="E15" s="33">
        <f>C37*'E Balans VL '!I15/100/3.6*1000000</f>
        <v>1177.2030870448023</v>
      </c>
      <c r="F15" s="33">
        <f>C37*'E Balans VL '!L15/100/3.6*1000000+C37*'E Balans VL '!N15/100/3.6*1000000</f>
        <v>4960.4868242361526</v>
      </c>
      <c r="G15" s="34"/>
      <c r="H15" s="33"/>
      <c r="I15" s="33"/>
      <c r="J15" s="40">
        <f>C37*'E Balans VL '!D15/100/3.6*1000000+C37*'E Balans VL '!E15/100/3.6*1000000</f>
        <v>54.083971696486564</v>
      </c>
      <c r="K15" s="33"/>
      <c r="L15" s="33"/>
      <c r="M15" s="33"/>
      <c r="N15" s="33">
        <f>C37*'E Balans VL '!Y15/100/3.6*1000000</f>
        <v>4141.1970933766079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37673.83</v>
      </c>
      <c r="C18" s="21">
        <f>C5+C16</f>
        <v>0</v>
      </c>
      <c r="D18" s="21">
        <f>MAX((D5+D16),0)</f>
        <v>30794.355767999998</v>
      </c>
      <c r="E18" s="21">
        <f>MAX((E5+E16),0)</f>
        <v>2770.72475631928</v>
      </c>
      <c r="F18" s="21">
        <f>MAX((F5+F16),0)</f>
        <v>13391.268266388986</v>
      </c>
      <c r="G18" s="21"/>
      <c r="H18" s="21"/>
      <c r="I18" s="21"/>
      <c r="J18" s="21">
        <f>MAX((J5+J16),0)</f>
        <v>108.00800240695561</v>
      </c>
      <c r="K18" s="21"/>
      <c r="L18" s="21">
        <f>MAX((L5+L16),0)</f>
        <v>0</v>
      </c>
      <c r="M18" s="21"/>
      <c r="N18" s="21">
        <f>MAX((N5+N16),0)</f>
        <v>6640.6289066581521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0.17668814404177907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6656.5191016454983</v>
      </c>
      <c r="C22" s="23">
        <f ca="1">C18*C20</f>
        <v>0</v>
      </c>
      <c r="D22" s="23">
        <f>D18*D20</f>
        <v>6220.4598651360002</v>
      </c>
      <c r="E22" s="23">
        <f>E18*E20</f>
        <v>628.95451968447662</v>
      </c>
      <c r="F22" s="23">
        <f>F18*F20</f>
        <v>3575.4686271258597</v>
      </c>
      <c r="G22" s="23"/>
      <c r="H22" s="23"/>
      <c r="I22" s="23"/>
      <c r="J22" s="23">
        <f>J18*J20</f>
        <v>38.234832852062283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314.23200000000003</v>
      </c>
      <c r="C30" s="39">
        <f>IF(ISERROR(B30*3.6/1000000/'E Balans VL '!Z18*100),0,B30*3.6/1000000/'E Balans VL '!Z18*100)</f>
        <v>3.091962665115295E-2</v>
      </c>
      <c r="D30" s="239" t="s">
        <v>692</v>
      </c>
    </row>
    <row r="31" spans="1:18">
      <c r="A31" s="6" t="s">
        <v>33</v>
      </c>
      <c r="B31" s="37">
        <f>IF( ISERROR(IND_ander_ele_kWh/1000),0,IND_ander_ele_kWh/1000)</f>
        <v>5346.0969999999998</v>
      </c>
      <c r="C31" s="39">
        <f>IF(ISERROR(B31*3.6/1000000/'E Balans VL '!Z19*100),0,B31*3.6/1000000/'E Balans VL '!Z19*100)</f>
        <v>0.23281825981043155</v>
      </c>
      <c r="D31" s="239" t="s">
        <v>692</v>
      </c>
    </row>
    <row r="32" spans="1:18">
      <c r="A32" s="173" t="s">
        <v>41</v>
      </c>
      <c r="B32" s="37">
        <f>IF( ISERROR(IND_voed_ele_kWh/1000),0,IND_voed_ele_kWh/1000)</f>
        <v>716.37699999999995</v>
      </c>
      <c r="C32" s="39">
        <f>IF(ISERROR(B32*3.6/1000000/'E Balans VL '!Z20*100),0,B32*3.6/1000000/'E Balans VL '!Z20*100)</f>
        <v>0.13592220446975101</v>
      </c>
      <c r="D32" s="239" t="s">
        <v>692</v>
      </c>
    </row>
    <row r="33" spans="1:5">
      <c r="A33" s="173" t="s">
        <v>40</v>
      </c>
      <c r="B33" s="37">
        <f>IF( ISERROR(IND_textiel_ele_kWh/1000),0,IND_textiel_ele_kWh/1000)</f>
        <v>143.00399999999999</v>
      </c>
      <c r="C33" s="39">
        <f>IF(ISERROR(B33*3.6/1000000/'E Balans VL '!Z21*100),0,B33*3.6/1000000/'E Balans VL '!Z21*100)</f>
        <v>8.1648031901977464E-3</v>
      </c>
      <c r="D33" s="239" t="s">
        <v>692</v>
      </c>
    </row>
    <row r="34" spans="1:5">
      <c r="A34" s="173" t="s">
        <v>37</v>
      </c>
      <c r="B34" s="37">
        <f>IF( ISERROR(IND_min_ele_kWh/1000),0,IND_min_ele_kWh/1000)</f>
        <v>9802.8019999999997</v>
      </c>
      <c r="C34" s="39">
        <f>IF(ISERROR(B34*3.6/1000000/'E Balans VL '!Z22*100),0,B34*3.6/1000000/'E Balans VL '!Z22*100)</f>
        <v>1.3783723978694493</v>
      </c>
      <c r="D34" s="239" t="s">
        <v>692</v>
      </c>
    </row>
    <row r="35" spans="1:5">
      <c r="A35" s="173" t="s">
        <v>39</v>
      </c>
      <c r="B35" s="37">
        <f>IF( ISERROR(IND_papier_ele_kWh/1000),0,IND_papier_ele_kWh/1000)</f>
        <v>250.01300000000001</v>
      </c>
      <c r="C35" s="39">
        <f>IF(ISERROR(B35*3.6/1000000/'E Balans VL '!Z22*100),0,B35*3.6/1000000/'E Balans VL '!Z22*100)</f>
        <v>3.5154338352293014E-2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21101.305</v>
      </c>
      <c r="C37" s="39">
        <f>IF(ISERROR(B37*3.6/1000000/'E Balans VL '!Z15*100),0,B37*3.6/1000000/'E Balans VL '!Z15*100)</f>
        <v>0.1626114727699271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1122.6020000000001</v>
      </c>
      <c r="C5" s="17">
        <f>'Eigen informatie GS &amp; warmtenet'!B60</f>
        <v>0</v>
      </c>
      <c r="D5" s="30">
        <f>IF(ISERROR(SUM(LB_lb_gas_kWh,LB_rest_gas_kWh,onbekend_gas_kWh)/1000),0,SUM(LB_lb_gas_kWh,LB_rest_gas_kWh,onbekend_gas_kWh)/1000)*0.902</f>
        <v>2840.0597499999999</v>
      </c>
      <c r="E5" s="17">
        <f>B17*'E Balans VL '!I25/3.6*1000000/100</f>
        <v>14.14623140541932</v>
      </c>
      <c r="F5" s="17">
        <f>B17*('E Balans VL '!L25/3.6*1000000+'E Balans VL '!N25/3.6*1000000)/100</f>
        <v>3873.2581286050977</v>
      </c>
      <c r="G5" s="18"/>
      <c r="H5" s="17"/>
      <c r="I5" s="17"/>
      <c r="J5" s="17">
        <f>('E Balans VL '!D25+'E Balans VL '!E25)/3.6*1000000*landbouw!B17/100</f>
        <v>168.82657951085181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1122.6020000000001</v>
      </c>
      <c r="C8" s="21">
        <f>C5+C6</f>
        <v>0</v>
      </c>
      <c r="D8" s="21">
        <f>MAX((D5+D6),0)</f>
        <v>2840.0597499999999</v>
      </c>
      <c r="E8" s="21">
        <f>MAX((E5+E6),0)</f>
        <v>14.14623140541932</v>
      </c>
      <c r="F8" s="21">
        <f>MAX((F5+F6),0)</f>
        <v>3873.2581286050977</v>
      </c>
      <c r="G8" s="21"/>
      <c r="H8" s="21"/>
      <c r="I8" s="21"/>
      <c r="J8" s="21">
        <f>MAX((J5+J6),0)</f>
        <v>168.82657951085181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0.17668814404177907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198.35046387758928</v>
      </c>
      <c r="C12" s="23">
        <f ca="1">C8*C10</f>
        <v>0</v>
      </c>
      <c r="D12" s="23">
        <f>D8*D10</f>
        <v>573.6920695</v>
      </c>
      <c r="E12" s="23">
        <f>E8*E10</f>
        <v>3.2111945290301858</v>
      </c>
      <c r="F12" s="23">
        <f>F8*F10</f>
        <v>1034.1599203375611</v>
      </c>
      <c r="G12" s="23"/>
      <c r="H12" s="23"/>
      <c r="I12" s="23"/>
      <c r="J12" s="23">
        <f>J8*J10</f>
        <v>59.764609146841536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0.15656759663877515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104.66476719432697</v>
      </c>
      <c r="C26" s="249">
        <f>B26*'GWP N2O_CH4'!B5</f>
        <v>2197.9601110808662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42.37755503593084</v>
      </c>
      <c r="C27" s="249">
        <f>B27*'GWP N2O_CH4'!B5</f>
        <v>889.92865575454766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1.598603968514186</v>
      </c>
      <c r="C28" s="249">
        <f>B28*'GWP N2O_CH4'!B4</f>
        <v>495.56723023939765</v>
      </c>
      <c r="D28" s="50"/>
    </row>
    <row r="29" spans="1:4">
      <c r="A29" s="41" t="s">
        <v>277</v>
      </c>
      <c r="B29" s="249">
        <f>B34*'ha_N2O bodem landbouw'!B4</f>
        <v>9.1791578239005496</v>
      </c>
      <c r="C29" s="249">
        <f>B29*'GWP N2O_CH4'!B4</f>
        <v>2845.5389254091706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2.2919439879230466E-3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3.5226354955006703E-5</v>
      </c>
      <c r="C5" s="448" t="s">
        <v>211</v>
      </c>
      <c r="D5" s="433">
        <f>SUM(D6:D11)</f>
        <v>5.7989820696364014E-5</v>
      </c>
      <c r="E5" s="433">
        <f>SUM(E6:E11)</f>
        <v>1.7754831434184538E-3</v>
      </c>
      <c r="F5" s="446" t="s">
        <v>211</v>
      </c>
      <c r="G5" s="433">
        <f>SUM(G6:G11)</f>
        <v>0.39895811066408826</v>
      </c>
      <c r="H5" s="433">
        <f>SUM(H6:H11)</f>
        <v>8.7004102834333852E-2</v>
      </c>
      <c r="I5" s="448" t="s">
        <v>211</v>
      </c>
      <c r="J5" s="448" t="s">
        <v>211</v>
      </c>
      <c r="K5" s="448" t="s">
        <v>211</v>
      </c>
      <c r="L5" s="448" t="s">
        <v>211</v>
      </c>
      <c r="M5" s="433">
        <f>SUM(M6:M11)</f>
        <v>2.1722333078350163E-2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2.7905654173120724E-5</v>
      </c>
      <c r="C6" s="949"/>
      <c r="D6" s="949">
        <f>vkm_2011_GW_PW*SUMIFS(TableVerdeelsleutelVkm[CNG],TableVerdeelsleutelVkm[Voertuigtype],"Lichte voertuigen")*SUMIFS(TableECFTransport[EnergieConsumptieFactor (PJ per km)],TableECFTransport[Index],CONCATENATE($A6,"_CNG_CNG"))</f>
        <v>3.9519864114128646E-5</v>
      </c>
      <c r="E6" s="949">
        <f>vkm_2011_GW_PW*SUMIFS(TableVerdeelsleutelVkm[LPG],TableVerdeelsleutelVkm[Voertuigtype],"Lichte voertuigen")*SUMIFS(TableECFTransport[EnergieConsumptieFactor (PJ per km)],TableECFTransport[Index],CONCATENATE($A6,"_LPG_LPG"))</f>
        <v>1.2411888289973758E-3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0.22307561885204361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5.9942448210633228E-2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1.2629520439536544E-2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7.9825796202999108E-2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2.8440770756990111E-5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3.6022060585202626E-3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7.3207007818859806E-6</v>
      </c>
      <c r="C8" s="949"/>
      <c r="D8" s="436">
        <f>vkm_2011_NGW_PW*SUMIFS(TableVerdeelsleutelVkm[CNG],TableVerdeelsleutelVkm[Voertuigtype],"Lichte voertuigen")*SUMIFS(TableECFTransport[EnergieConsumptieFactor (PJ per km)],TableECFTransport[Index],CONCATENATE($A8,"_CNG_CNG"))</f>
        <v>1.8469956582235368E-5</v>
      </c>
      <c r="E8" s="436">
        <f>vkm_2011_NGW_PW*SUMIFS(TableVerdeelsleutelVkm[LPG],TableVerdeelsleutelVkm[Voertuigtype],"Lichte voertuigen")*SUMIFS(TableECFTransport[EnergieConsumptieFactor (PJ per km)],TableECFTransport[Index],CONCATENATE($A8,"_LPG_LPG"))</f>
        <v>5.3429431442107809E-4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9.05680673445214E-2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2.7031363363456101E-2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5.242932119603038E-3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5.488628264524148E-3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1.8504894875331238E-6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2.4767446069031844E-4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9.7850985986129739</v>
      </c>
      <c r="C14" s="21"/>
      <c r="D14" s="21">
        <f t="shared" ref="D14:M14" si="0">((D5)*10^9/3600)+D12</f>
        <v>16.108283526767782</v>
      </c>
      <c r="E14" s="21">
        <f t="shared" si="0"/>
        <v>493.18976206068163</v>
      </c>
      <c r="F14" s="21"/>
      <c r="G14" s="21">
        <f t="shared" si="0"/>
        <v>110821.69740669118</v>
      </c>
      <c r="H14" s="21">
        <f t="shared" si="0"/>
        <v>24167.806342870514</v>
      </c>
      <c r="I14" s="21"/>
      <c r="J14" s="21"/>
      <c r="K14" s="21"/>
      <c r="L14" s="21"/>
      <c r="M14" s="21">
        <f t="shared" si="0"/>
        <v>6033.9814106528229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0.17668814404177907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1.7289109106547396</v>
      </c>
      <c r="C18" s="23"/>
      <c r="D18" s="23">
        <f t="shared" ref="D18:M18" si="1">D14*D16</f>
        <v>3.253873272407092</v>
      </c>
      <c r="E18" s="23">
        <f t="shared" si="1"/>
        <v>111.95407598777473</v>
      </c>
      <c r="F18" s="23"/>
      <c r="G18" s="23">
        <f t="shared" si="1"/>
        <v>29589.393207586545</v>
      </c>
      <c r="H18" s="23">
        <f t="shared" si="1"/>
        <v>6017.7837793747576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8.9940678196135798E-3</v>
      </c>
      <c r="H50" s="323">
        <f t="shared" si="2"/>
        <v>0</v>
      </c>
      <c r="I50" s="323">
        <f t="shared" si="2"/>
        <v>0</v>
      </c>
      <c r="J50" s="323">
        <f t="shared" si="2"/>
        <v>0</v>
      </c>
      <c r="K50" s="323">
        <f t="shared" si="2"/>
        <v>0</v>
      </c>
      <c r="L50" s="323">
        <f t="shared" si="2"/>
        <v>0</v>
      </c>
      <c r="M50" s="323">
        <f t="shared" si="2"/>
        <v>3.9998819467600421E-4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8.9940678196135798E-3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3.9998819467600421E-4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2498.3521721148832</v>
      </c>
      <c r="H54" s="21">
        <f t="shared" si="3"/>
        <v>0</v>
      </c>
      <c r="I54" s="21">
        <f t="shared" si="3"/>
        <v>0</v>
      </c>
      <c r="J54" s="21">
        <f t="shared" si="3"/>
        <v>0</v>
      </c>
      <c r="K54" s="21">
        <f t="shared" si="3"/>
        <v>0</v>
      </c>
      <c r="L54" s="21">
        <f t="shared" si="3"/>
        <v>0</v>
      </c>
      <c r="M54" s="21">
        <f t="shared" si="3"/>
        <v>111.10783185444562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0.17668814404177907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667.06002995467384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14721.236423114269</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10055.881695046788</v>
      </c>
      <c r="C6" s="1142"/>
      <c r="D6" s="1145"/>
      <c r="E6" s="1145"/>
      <c r="F6" s="1148"/>
      <c r="G6" s="1151"/>
      <c r="H6" s="1139"/>
      <c r="I6" s="1145"/>
      <c r="J6" s="1145"/>
      <c r="K6" s="1145"/>
      <c r="L6" s="1175"/>
      <c r="M6" s="561"/>
      <c r="N6" s="1187"/>
      <c r="O6" s="1188"/>
      <c r="Q6" s="559"/>
      <c r="R6" s="1172"/>
      <c r="S6" s="1172"/>
    </row>
    <row r="7" spans="1:19" s="549" customFormat="1">
      <c r="A7" s="562" t="s">
        <v>252</v>
      </c>
      <c r="B7" s="563">
        <f>N57</f>
        <v>24.75</v>
      </c>
      <c r="C7" s="564">
        <f>B100</f>
        <v>29.117647058823533</v>
      </c>
      <c r="D7" s="565"/>
      <c r="E7" s="565">
        <f>E100</f>
        <v>0</v>
      </c>
      <c r="F7" s="566"/>
      <c r="G7" s="567"/>
      <c r="H7" s="565">
        <f>I100</f>
        <v>0</v>
      </c>
      <c r="I7" s="565">
        <f>G100+F100</f>
        <v>0</v>
      </c>
      <c r="J7" s="565">
        <f>H100+D100+C100</f>
        <v>0</v>
      </c>
      <c r="K7" s="565"/>
      <c r="L7" s="568"/>
      <c r="M7" s="569">
        <f>C7*$C$11+D7*$D$11+E7*$E$11+F7*$F$11+G7*$G$11+H7*$H$11+I7*$I$11+J7*$J$11</f>
        <v>5.8817647058823539</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24801.868118161059</v>
      </c>
      <c r="C9" s="580">
        <f t="shared" ref="C9:L9" si="0">SUM(C7:C8)</f>
        <v>29.117647058823533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5.8817647058823539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35.357142857142861</v>
      </c>
      <c r="C16" s="596">
        <f>B101</f>
        <v>41.596638655462193</v>
      </c>
      <c r="D16" s="597"/>
      <c r="E16" s="597">
        <f>E101</f>
        <v>0</v>
      </c>
      <c r="F16" s="598"/>
      <c r="G16" s="599"/>
      <c r="H16" s="596">
        <f>I101</f>
        <v>0</v>
      </c>
      <c r="I16" s="597">
        <f>G101+F101</f>
        <v>0</v>
      </c>
      <c r="J16" s="597">
        <f>H101+D101+C101</f>
        <v>0</v>
      </c>
      <c r="K16" s="597"/>
      <c r="L16" s="600"/>
      <c r="M16" s="601">
        <f>C16*$C$21+E16*$E$21+H16*$H$21+I16*$I$21+J16*$J$21+D16*$D$21+F16*$F$21+G16*$G$21+K16*$K$21+L16*$L$21</f>
        <v>8.4025210084033635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35.357142857142861</v>
      </c>
      <c r="C19" s="579">
        <f>SUM(C16:C18)</f>
        <v>41.596638655462193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8.4025210084033635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73042</v>
      </c>
      <c r="C27" s="839">
        <v>3620</v>
      </c>
      <c r="D27" s="658" t="s">
        <v>840</v>
      </c>
      <c r="E27" s="657" t="s">
        <v>841</v>
      </c>
      <c r="F27" s="657" t="s">
        <v>842</v>
      </c>
      <c r="G27" s="657" t="s">
        <v>843</v>
      </c>
      <c r="H27" s="657" t="s">
        <v>844</v>
      </c>
      <c r="I27" s="657" t="s">
        <v>841</v>
      </c>
      <c r="J27" s="838">
        <v>39072</v>
      </c>
      <c r="K27" s="838">
        <v>39295</v>
      </c>
      <c r="L27" s="657" t="s">
        <v>845</v>
      </c>
      <c r="M27" s="657">
        <v>5.5</v>
      </c>
      <c r="N27" s="657">
        <v>24.75</v>
      </c>
      <c r="O27" s="657">
        <v>35.357142857142861</v>
      </c>
      <c r="P27" s="657">
        <v>70.714285714285722</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5.5</v>
      </c>
      <c r="N57" s="615">
        <f>SUM(N27:N56)</f>
        <v>24.75</v>
      </c>
      <c r="O57" s="615">
        <f t="shared" ref="O57:W57" si="2">SUM(O27:O56)</f>
        <v>35.357142857142861</v>
      </c>
      <c r="P57" s="615">
        <f t="shared" si="2"/>
        <v>70.714285714285722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5.5</v>
      </c>
      <c r="N59" s="615">
        <f ca="1">SUMIF($Z$27:AB56,"tertiair",N27:N56)</f>
        <v>24.75</v>
      </c>
      <c r="O59" s="615">
        <f ca="1">SUMIF($Z$27:AC56,"tertiair",O27:O56)</f>
        <v>35.357142857142861</v>
      </c>
      <c r="P59" s="615">
        <f ca="1">SUMIF($Z$27:AD56,"tertiair",P27:P56)</f>
        <v>70.714285714285722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29.117647058823533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41.596638655462193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33534.015999999996</v>
      </c>
      <c r="D10" s="704">
        <f ca="1">tertiair!C16</f>
        <v>35.357142857142861</v>
      </c>
      <c r="E10" s="704">
        <f ca="1">tertiair!D16</f>
        <v>93739.447808285709</v>
      </c>
      <c r="F10" s="704">
        <f>tertiair!E16</f>
        <v>514.03132399273386</v>
      </c>
      <c r="G10" s="704">
        <f ca="1">tertiair!F16</f>
        <v>6496.4535822927328</v>
      </c>
      <c r="H10" s="704">
        <f>tertiair!G16</f>
        <v>0</v>
      </c>
      <c r="I10" s="704">
        <f>tertiair!H16</f>
        <v>0</v>
      </c>
      <c r="J10" s="704">
        <f>tertiair!I16</f>
        <v>0</v>
      </c>
      <c r="K10" s="704">
        <f>tertiair!J16</f>
        <v>0</v>
      </c>
      <c r="L10" s="704">
        <f>tertiair!K16</f>
        <v>0</v>
      </c>
      <c r="M10" s="704">
        <f ca="1">tertiair!L16</f>
        <v>0</v>
      </c>
      <c r="N10" s="704">
        <f>tertiair!M16</f>
        <v>0</v>
      </c>
      <c r="O10" s="704">
        <f ca="1">tertiair!N16</f>
        <v>2338.0501100211277</v>
      </c>
      <c r="P10" s="704">
        <f>tertiair!O16</f>
        <v>1.5633333333333335</v>
      </c>
      <c r="Q10" s="705">
        <f>tertiair!P16</f>
        <v>0</v>
      </c>
      <c r="R10" s="707">
        <f ca="1">SUM(C10:Q10)</f>
        <v>136658.91930078279</v>
      </c>
      <c r="S10" s="67"/>
    </row>
    <row r="11" spans="1:19" s="459" customFormat="1">
      <c r="A11" s="858" t="s">
        <v>225</v>
      </c>
      <c r="B11" s="863"/>
      <c r="C11" s="704">
        <f>huishoudens!B8</f>
        <v>51223.336312036852</v>
      </c>
      <c r="D11" s="704">
        <f>huishoudens!C8</f>
        <v>0</v>
      </c>
      <c r="E11" s="704">
        <f>huishoudens!D8</f>
        <v>128216.001386</v>
      </c>
      <c r="F11" s="704">
        <f>huishoudens!E8</f>
        <v>3670.8825993838132</v>
      </c>
      <c r="G11" s="704">
        <f>huishoudens!F8</f>
        <v>40787.736330640582</v>
      </c>
      <c r="H11" s="704">
        <f>huishoudens!G8</f>
        <v>0</v>
      </c>
      <c r="I11" s="704">
        <f>huishoudens!H8</f>
        <v>0</v>
      </c>
      <c r="J11" s="704">
        <f>huishoudens!I8</f>
        <v>0</v>
      </c>
      <c r="K11" s="704">
        <f>huishoudens!J8</f>
        <v>0</v>
      </c>
      <c r="L11" s="704">
        <f>huishoudens!K8</f>
        <v>0</v>
      </c>
      <c r="M11" s="704">
        <f>huishoudens!L8</f>
        <v>0</v>
      </c>
      <c r="N11" s="704">
        <f>huishoudens!M8</f>
        <v>0</v>
      </c>
      <c r="O11" s="704">
        <f>huishoudens!N8</f>
        <v>13449.102436065339</v>
      </c>
      <c r="P11" s="704">
        <f>huishoudens!O8</f>
        <v>261.07666666666665</v>
      </c>
      <c r="Q11" s="705">
        <f>huishoudens!P8</f>
        <v>514.79999999999995</v>
      </c>
      <c r="R11" s="707">
        <f>SUM(C11:Q11)</f>
        <v>238122.93573079328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37673.83</v>
      </c>
      <c r="D13" s="704">
        <f>industrie!C18</f>
        <v>0</v>
      </c>
      <c r="E13" s="704">
        <f>industrie!D18</f>
        <v>30794.355767999998</v>
      </c>
      <c r="F13" s="704">
        <f>industrie!E18</f>
        <v>2770.72475631928</v>
      </c>
      <c r="G13" s="704">
        <f>industrie!F18</f>
        <v>13391.268266388986</v>
      </c>
      <c r="H13" s="704">
        <f>industrie!G18</f>
        <v>0</v>
      </c>
      <c r="I13" s="704">
        <f>industrie!H18</f>
        <v>0</v>
      </c>
      <c r="J13" s="704">
        <f>industrie!I18</f>
        <v>0</v>
      </c>
      <c r="K13" s="704">
        <f>industrie!J18</f>
        <v>108.00800240695561</v>
      </c>
      <c r="L13" s="704">
        <f>industrie!K18</f>
        <v>0</v>
      </c>
      <c r="M13" s="704">
        <f>industrie!L18</f>
        <v>0</v>
      </c>
      <c r="N13" s="704">
        <f>industrie!M18</f>
        <v>0</v>
      </c>
      <c r="O13" s="704">
        <f>industrie!N18</f>
        <v>6640.6289066581521</v>
      </c>
      <c r="P13" s="704">
        <f>industrie!O18</f>
        <v>0</v>
      </c>
      <c r="Q13" s="705">
        <f>industrie!P18</f>
        <v>0</v>
      </c>
      <c r="R13" s="707">
        <f>SUM(C13:Q13)</f>
        <v>91378.815699773375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122431.18231203685</v>
      </c>
      <c r="D15" s="709">
        <f t="shared" ref="D15:Q15" ca="1" si="0">SUM(D9:D14)</f>
        <v>35.357142857142861</v>
      </c>
      <c r="E15" s="709">
        <f t="shared" ca="1" si="0"/>
        <v>252749.80496228574</v>
      </c>
      <c r="F15" s="709">
        <f t="shared" si="0"/>
        <v>6955.6386796958268</v>
      </c>
      <c r="G15" s="709">
        <f t="shared" ca="1" si="0"/>
        <v>60675.458179322304</v>
      </c>
      <c r="H15" s="709">
        <f t="shared" si="0"/>
        <v>0</v>
      </c>
      <c r="I15" s="709">
        <f t="shared" si="0"/>
        <v>0</v>
      </c>
      <c r="J15" s="709">
        <f t="shared" si="0"/>
        <v>0</v>
      </c>
      <c r="K15" s="709">
        <f t="shared" si="0"/>
        <v>108.00800240695561</v>
      </c>
      <c r="L15" s="709">
        <f t="shared" si="0"/>
        <v>0</v>
      </c>
      <c r="M15" s="709">
        <f t="shared" ca="1" si="0"/>
        <v>0</v>
      </c>
      <c r="N15" s="709">
        <f t="shared" si="0"/>
        <v>0</v>
      </c>
      <c r="O15" s="709">
        <f t="shared" ca="1" si="0"/>
        <v>22427.781452744617</v>
      </c>
      <c r="P15" s="709">
        <f t="shared" si="0"/>
        <v>262.64</v>
      </c>
      <c r="Q15" s="710">
        <f t="shared" si="0"/>
        <v>514.79999999999995</v>
      </c>
      <c r="R15" s="711">
        <f ca="1">SUM(R9:R14)</f>
        <v>466160.67073134944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2498.3521721148832</v>
      </c>
      <c r="I18" s="704">
        <f>transport!H54</f>
        <v>0</v>
      </c>
      <c r="J18" s="704">
        <f>transport!I54</f>
        <v>0</v>
      </c>
      <c r="K18" s="704">
        <f>transport!J54</f>
        <v>0</v>
      </c>
      <c r="L18" s="704">
        <f>transport!K54</f>
        <v>0</v>
      </c>
      <c r="M18" s="704">
        <f>transport!L54</f>
        <v>0</v>
      </c>
      <c r="N18" s="704">
        <f>transport!M54</f>
        <v>111.10783185444562</v>
      </c>
      <c r="O18" s="704">
        <f>transport!N54</f>
        <v>0</v>
      </c>
      <c r="P18" s="704">
        <f>transport!O54</f>
        <v>0</v>
      </c>
      <c r="Q18" s="705">
        <f>transport!P54</f>
        <v>0</v>
      </c>
      <c r="R18" s="707">
        <f>SUM(C18:Q18)</f>
        <v>2609.4600039693287</v>
      </c>
      <c r="S18" s="67"/>
    </row>
    <row r="19" spans="1:19" s="459" customFormat="1" ht="15" thickBot="1">
      <c r="A19" s="858" t="s">
        <v>307</v>
      </c>
      <c r="B19" s="863"/>
      <c r="C19" s="713">
        <f>transport!B14</f>
        <v>9.7850985986129739</v>
      </c>
      <c r="D19" s="713">
        <f>transport!C14</f>
        <v>0</v>
      </c>
      <c r="E19" s="713">
        <f>transport!D14</f>
        <v>16.108283526767782</v>
      </c>
      <c r="F19" s="713">
        <f>transport!E14</f>
        <v>493.18976206068163</v>
      </c>
      <c r="G19" s="713">
        <f>transport!F14</f>
        <v>0</v>
      </c>
      <c r="H19" s="713">
        <f>transport!G14</f>
        <v>110821.69740669118</v>
      </c>
      <c r="I19" s="713">
        <f>transport!H14</f>
        <v>24167.806342870514</v>
      </c>
      <c r="J19" s="713">
        <f>transport!I14</f>
        <v>0</v>
      </c>
      <c r="K19" s="713">
        <f>transport!J14</f>
        <v>0</v>
      </c>
      <c r="L19" s="713">
        <f>transport!K14</f>
        <v>0</v>
      </c>
      <c r="M19" s="713">
        <f>transport!L14</f>
        <v>0</v>
      </c>
      <c r="N19" s="713">
        <f>transport!M14</f>
        <v>6033.9814106528229</v>
      </c>
      <c r="O19" s="713">
        <f>transport!N14</f>
        <v>0</v>
      </c>
      <c r="P19" s="713">
        <f>transport!O14</f>
        <v>0</v>
      </c>
      <c r="Q19" s="714">
        <f>transport!P14</f>
        <v>0</v>
      </c>
      <c r="R19" s="715">
        <f>SUM(C19:Q19)</f>
        <v>141542.5683044006</v>
      </c>
      <c r="S19" s="67"/>
    </row>
    <row r="20" spans="1:19" s="459" customFormat="1" ht="15.75" thickBot="1">
      <c r="A20" s="716" t="s">
        <v>230</v>
      </c>
      <c r="B20" s="866"/>
      <c r="C20" s="861">
        <f>SUM(C17:C19)</f>
        <v>9.7850985986129739</v>
      </c>
      <c r="D20" s="717">
        <f t="shared" ref="D20:R20" si="1">SUM(D17:D19)</f>
        <v>0</v>
      </c>
      <c r="E20" s="717">
        <f t="shared" si="1"/>
        <v>16.108283526767782</v>
      </c>
      <c r="F20" s="717">
        <f t="shared" si="1"/>
        <v>493.18976206068163</v>
      </c>
      <c r="G20" s="717">
        <f t="shared" si="1"/>
        <v>0</v>
      </c>
      <c r="H20" s="717">
        <f t="shared" si="1"/>
        <v>113320.04957880607</v>
      </c>
      <c r="I20" s="717">
        <f t="shared" si="1"/>
        <v>24167.806342870514</v>
      </c>
      <c r="J20" s="717">
        <f t="shared" si="1"/>
        <v>0</v>
      </c>
      <c r="K20" s="717">
        <f t="shared" si="1"/>
        <v>0</v>
      </c>
      <c r="L20" s="717">
        <f t="shared" si="1"/>
        <v>0</v>
      </c>
      <c r="M20" s="717">
        <f t="shared" si="1"/>
        <v>0</v>
      </c>
      <c r="N20" s="717">
        <f t="shared" si="1"/>
        <v>6145.0892425072689</v>
      </c>
      <c r="O20" s="717">
        <f t="shared" si="1"/>
        <v>0</v>
      </c>
      <c r="P20" s="717">
        <f t="shared" si="1"/>
        <v>0</v>
      </c>
      <c r="Q20" s="718">
        <f t="shared" si="1"/>
        <v>0</v>
      </c>
      <c r="R20" s="719">
        <f t="shared" si="1"/>
        <v>144152.02830836992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1122.6020000000001</v>
      </c>
      <c r="D22" s="713">
        <f>+landbouw!C8</f>
        <v>0</v>
      </c>
      <c r="E22" s="713">
        <f>+landbouw!D8</f>
        <v>2840.0597499999999</v>
      </c>
      <c r="F22" s="713">
        <f>+landbouw!E8</f>
        <v>14.14623140541932</v>
      </c>
      <c r="G22" s="713">
        <f>+landbouw!F8</f>
        <v>3873.2581286050977</v>
      </c>
      <c r="H22" s="713">
        <f>+landbouw!G8</f>
        <v>0</v>
      </c>
      <c r="I22" s="713">
        <f>+landbouw!H8</f>
        <v>0</v>
      </c>
      <c r="J22" s="713">
        <f>+landbouw!I8</f>
        <v>0</v>
      </c>
      <c r="K22" s="713">
        <f>+landbouw!J8</f>
        <v>168.82657951085181</v>
      </c>
      <c r="L22" s="713">
        <f>+landbouw!K8</f>
        <v>0</v>
      </c>
      <c r="M22" s="713">
        <f>+landbouw!L8</f>
        <v>0</v>
      </c>
      <c r="N22" s="713">
        <f>+landbouw!M8</f>
        <v>0</v>
      </c>
      <c r="O22" s="713">
        <f>+landbouw!N8</f>
        <v>0</v>
      </c>
      <c r="P22" s="713">
        <f>+landbouw!O8</f>
        <v>0</v>
      </c>
      <c r="Q22" s="714">
        <f>+landbouw!P8</f>
        <v>0</v>
      </c>
      <c r="R22" s="715">
        <f>SUM(C22:Q22)</f>
        <v>8018.892689521369</v>
      </c>
      <c r="S22" s="67"/>
    </row>
    <row r="23" spans="1:19" s="459" customFormat="1" ht="17.25" thickTop="1" thickBot="1">
      <c r="A23" s="720" t="s">
        <v>116</v>
      </c>
      <c r="B23" s="852"/>
      <c r="C23" s="721">
        <f ca="1">C20+C15+C22</f>
        <v>123563.56941063546</v>
      </c>
      <c r="D23" s="721">
        <f t="shared" ref="D23:Q23" ca="1" si="2">D20+D15+D22</f>
        <v>35.357142857142861</v>
      </c>
      <c r="E23" s="721">
        <f t="shared" ca="1" si="2"/>
        <v>255605.97299581248</v>
      </c>
      <c r="F23" s="721">
        <f t="shared" si="2"/>
        <v>7462.974673161928</v>
      </c>
      <c r="G23" s="721">
        <f t="shared" ca="1" si="2"/>
        <v>64548.716307927403</v>
      </c>
      <c r="H23" s="721">
        <f t="shared" si="2"/>
        <v>113320.04957880607</v>
      </c>
      <c r="I23" s="721">
        <f t="shared" si="2"/>
        <v>24167.806342870514</v>
      </c>
      <c r="J23" s="721">
        <f t="shared" si="2"/>
        <v>0</v>
      </c>
      <c r="K23" s="721">
        <f t="shared" si="2"/>
        <v>276.83458191780744</v>
      </c>
      <c r="L23" s="721">
        <f t="shared" si="2"/>
        <v>0</v>
      </c>
      <c r="M23" s="721">
        <f t="shared" ca="1" si="2"/>
        <v>0</v>
      </c>
      <c r="N23" s="721">
        <f t="shared" si="2"/>
        <v>6145.0892425072689</v>
      </c>
      <c r="O23" s="721">
        <f t="shared" ca="1" si="2"/>
        <v>22427.781452744617</v>
      </c>
      <c r="P23" s="721">
        <f t="shared" si="2"/>
        <v>262.64</v>
      </c>
      <c r="Q23" s="722">
        <f t="shared" si="2"/>
        <v>514.79999999999995</v>
      </c>
      <c r="R23" s="723">
        <f ca="1">R20+R15+R22</f>
        <v>618331.59172924072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5925.0630493073231</v>
      </c>
      <c r="D36" s="704">
        <f ca="1">tertiair!C20</f>
        <v>8.4025210084033635</v>
      </c>
      <c r="E36" s="704">
        <f ca="1">tertiair!D20</f>
        <v>18935.368457273715</v>
      </c>
      <c r="F36" s="704">
        <f>tertiair!E20</f>
        <v>116.68511054635059</v>
      </c>
      <c r="G36" s="704">
        <f ca="1">tertiair!F20</f>
        <v>1734.5531064721597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26720.072244607949</v>
      </c>
    </row>
    <row r="37" spans="1:18">
      <c r="A37" s="873" t="s">
        <v>225</v>
      </c>
      <c r="B37" s="880"/>
      <c r="C37" s="704">
        <f ca="1">huishoudens!B12</f>
        <v>9050.5562246016598</v>
      </c>
      <c r="D37" s="704">
        <f ca="1">huishoudens!C12</f>
        <v>0</v>
      </c>
      <c r="E37" s="704">
        <f>huishoudens!D12</f>
        <v>25899.632279972004</v>
      </c>
      <c r="F37" s="704">
        <f>huishoudens!E12</f>
        <v>833.29035006012566</v>
      </c>
      <c r="G37" s="704">
        <f>huishoudens!F12</f>
        <v>10890.325600281036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46673.804454914825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6656.5191016454983</v>
      </c>
      <c r="D39" s="704">
        <f ca="1">industrie!C22</f>
        <v>0</v>
      </c>
      <c r="E39" s="704">
        <f>industrie!D22</f>
        <v>6220.4598651360002</v>
      </c>
      <c r="F39" s="704">
        <f>industrie!E22</f>
        <v>628.95451968447662</v>
      </c>
      <c r="G39" s="704">
        <f>industrie!F22</f>
        <v>3575.4686271258597</v>
      </c>
      <c r="H39" s="704">
        <f>industrie!G22</f>
        <v>0</v>
      </c>
      <c r="I39" s="704">
        <f>industrie!H22</f>
        <v>0</v>
      </c>
      <c r="J39" s="704">
        <f>industrie!I22</f>
        <v>0</v>
      </c>
      <c r="K39" s="704">
        <f>industrie!J22</f>
        <v>38.234832852062283</v>
      </c>
      <c r="L39" s="704">
        <f>industrie!K22</f>
        <v>0</v>
      </c>
      <c r="M39" s="704">
        <f>industrie!L22</f>
        <v>0</v>
      </c>
      <c r="N39" s="704">
        <f>industrie!M22</f>
        <v>0</v>
      </c>
      <c r="O39" s="704">
        <f>industrie!N22</f>
        <v>0</v>
      </c>
      <c r="P39" s="704">
        <f>industrie!O22</f>
        <v>0</v>
      </c>
      <c r="Q39" s="814">
        <f>industrie!P22</f>
        <v>0</v>
      </c>
      <c r="R39" s="906">
        <f ca="1">SUM(C39:Q39)</f>
        <v>17119.636946443901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21632.138375554481</v>
      </c>
      <c r="D41" s="749">
        <f t="shared" ref="D41:R41" ca="1" si="4">SUM(D35:D40)</f>
        <v>8.4025210084033635</v>
      </c>
      <c r="E41" s="749">
        <f t="shared" ca="1" si="4"/>
        <v>51055.460602381718</v>
      </c>
      <c r="F41" s="749">
        <f t="shared" si="4"/>
        <v>1578.9299802909527</v>
      </c>
      <c r="G41" s="749">
        <f t="shared" ca="1" si="4"/>
        <v>16200.347333879055</v>
      </c>
      <c r="H41" s="749">
        <f t="shared" si="4"/>
        <v>0</v>
      </c>
      <c r="I41" s="749">
        <f t="shared" si="4"/>
        <v>0</v>
      </c>
      <c r="J41" s="749">
        <f t="shared" si="4"/>
        <v>0</v>
      </c>
      <c r="K41" s="749">
        <f t="shared" si="4"/>
        <v>38.234832852062283</v>
      </c>
      <c r="L41" s="749">
        <f t="shared" si="4"/>
        <v>0</v>
      </c>
      <c r="M41" s="749">
        <f t="shared" ca="1" si="4"/>
        <v>0</v>
      </c>
      <c r="N41" s="749">
        <f t="shared" si="4"/>
        <v>0</v>
      </c>
      <c r="O41" s="749">
        <f t="shared" ca="1" si="4"/>
        <v>0</v>
      </c>
      <c r="P41" s="749">
        <f t="shared" si="4"/>
        <v>0</v>
      </c>
      <c r="Q41" s="750">
        <f t="shared" si="4"/>
        <v>0</v>
      </c>
      <c r="R41" s="751">
        <f t="shared" ca="1" si="4"/>
        <v>90513.513645966683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667.06002995467384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667.06002995467384</v>
      </c>
    </row>
    <row r="45" spans="1:18" ht="15" thickBot="1">
      <c r="A45" s="876" t="s">
        <v>307</v>
      </c>
      <c r="B45" s="886"/>
      <c r="C45" s="713">
        <f ca="1">transport!B18</f>
        <v>1.7289109106547396</v>
      </c>
      <c r="D45" s="713">
        <f>transport!C18</f>
        <v>0</v>
      </c>
      <c r="E45" s="713">
        <f>transport!D18</f>
        <v>3.253873272407092</v>
      </c>
      <c r="F45" s="713">
        <f>transport!E18</f>
        <v>111.95407598777473</v>
      </c>
      <c r="G45" s="713">
        <f>transport!F18</f>
        <v>0</v>
      </c>
      <c r="H45" s="713">
        <f>transport!G18</f>
        <v>29589.393207586545</v>
      </c>
      <c r="I45" s="713">
        <f>transport!H18</f>
        <v>6017.7837793747576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35724.113847132139</v>
      </c>
    </row>
    <row r="46" spans="1:18" ht="15.75" thickBot="1">
      <c r="A46" s="874" t="s">
        <v>230</v>
      </c>
      <c r="B46" s="887"/>
      <c r="C46" s="749">
        <f t="shared" ref="C46:R46" ca="1" si="5">SUM(C43:C45)</f>
        <v>1.7289109106547396</v>
      </c>
      <c r="D46" s="749">
        <f t="shared" ca="1" si="5"/>
        <v>0</v>
      </c>
      <c r="E46" s="749">
        <f t="shared" si="5"/>
        <v>3.253873272407092</v>
      </c>
      <c r="F46" s="749">
        <f t="shared" si="5"/>
        <v>111.95407598777473</v>
      </c>
      <c r="G46" s="749">
        <f t="shared" si="5"/>
        <v>0</v>
      </c>
      <c r="H46" s="749">
        <f t="shared" si="5"/>
        <v>30256.45323754122</v>
      </c>
      <c r="I46" s="749">
        <f t="shared" si="5"/>
        <v>6017.7837793747576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36391.173877086811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198.35046387758928</v>
      </c>
      <c r="D48" s="704">
        <f ca="1">+landbouw!C12</f>
        <v>0</v>
      </c>
      <c r="E48" s="704">
        <f>+landbouw!D12</f>
        <v>573.6920695</v>
      </c>
      <c r="F48" s="704">
        <f>+landbouw!E12</f>
        <v>3.2111945290301858</v>
      </c>
      <c r="G48" s="704">
        <f>+landbouw!F12</f>
        <v>1034.1599203375611</v>
      </c>
      <c r="H48" s="704">
        <f>+landbouw!G12</f>
        <v>0</v>
      </c>
      <c r="I48" s="704">
        <f>+landbouw!H12</f>
        <v>0</v>
      </c>
      <c r="J48" s="704">
        <f>+landbouw!I12</f>
        <v>0</v>
      </c>
      <c r="K48" s="704">
        <f>+landbouw!J12</f>
        <v>59.764609146841536</v>
      </c>
      <c r="L48" s="704">
        <f>+landbouw!K12</f>
        <v>0</v>
      </c>
      <c r="M48" s="704">
        <f>+landbouw!L12</f>
        <v>0</v>
      </c>
      <c r="N48" s="704">
        <f>+landbouw!M12</f>
        <v>0</v>
      </c>
      <c r="O48" s="704">
        <f>+landbouw!N12</f>
        <v>0</v>
      </c>
      <c r="P48" s="704">
        <f>+landbouw!O12</f>
        <v>0</v>
      </c>
      <c r="Q48" s="705">
        <f>+landbouw!P12</f>
        <v>0</v>
      </c>
      <c r="R48" s="747">
        <f ca="1">SUM(C48:Q48)</f>
        <v>1869.178257391022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21832.217750342723</v>
      </c>
      <c r="D53" s="759">
        <f t="shared" ref="D53:Q53" ca="1" si="6">D41+D46+D48</f>
        <v>8.4025210084033635</v>
      </c>
      <c r="E53" s="759">
        <f t="shared" ca="1" si="6"/>
        <v>51632.406545154125</v>
      </c>
      <c r="F53" s="759">
        <f t="shared" si="6"/>
        <v>1694.0952508077576</v>
      </c>
      <c r="G53" s="759">
        <f t="shared" ca="1" si="6"/>
        <v>17234.507254216616</v>
      </c>
      <c r="H53" s="759">
        <f t="shared" si="6"/>
        <v>30256.45323754122</v>
      </c>
      <c r="I53" s="759">
        <f t="shared" si="6"/>
        <v>6017.7837793747576</v>
      </c>
      <c r="J53" s="759">
        <f t="shared" si="6"/>
        <v>0</v>
      </c>
      <c r="K53" s="759">
        <f t="shared" si="6"/>
        <v>97.999441998903819</v>
      </c>
      <c r="L53" s="759">
        <f t="shared" si="6"/>
        <v>0</v>
      </c>
      <c r="M53" s="759">
        <f t="shared" ca="1" si="6"/>
        <v>0</v>
      </c>
      <c r="N53" s="759">
        <f t="shared" si="6"/>
        <v>0</v>
      </c>
      <c r="O53" s="759">
        <f t="shared" ca="1" si="6"/>
        <v>0</v>
      </c>
      <c r="P53" s="759">
        <f>P41+P46+P48</f>
        <v>0</v>
      </c>
      <c r="Q53" s="760">
        <f t="shared" si="6"/>
        <v>0</v>
      </c>
      <c r="R53" s="761">
        <f ca="1">R41+R46+R48</f>
        <v>128773.86578044451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0.17668814404177904</v>
      </c>
      <c r="D55" s="824">
        <f t="shared" ca="1" si="7"/>
        <v>0.23764705882352943</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14721.236423114269</v>
      </c>
      <c r="C64" s="781">
        <f>'lokale energieproductie'!B4</f>
        <v>14721.236423114269</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10055.881695046788</v>
      </c>
      <c r="C66" s="781">
        <f>'lokale energieproductie'!B6</f>
        <v>10055.881695046788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24.75</v>
      </c>
      <c r="C67" s="780">
        <f>B67*IFERROR(SUM(J67:L67)/SUM(D67:M67),0)</f>
        <v>0</v>
      </c>
      <c r="D67" s="812">
        <f>'lokale energieproductie'!C7</f>
        <v>29.117647058823533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5.8817647058823539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24801.868118161059</v>
      </c>
      <c r="C69" s="789">
        <f>SUM(C64:C68)</f>
        <v>24777.118118161059</v>
      </c>
      <c r="D69" s="790">
        <f t="shared" ref="D69:M69" si="8">SUM(D67:D68)</f>
        <v>29.117647058823533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5.8817647058823539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35.357142857142861</v>
      </c>
      <c r="C78" s="803">
        <f>B78*IFERROR(SUM(I78:L78)/SUM(D78:M78),0)</f>
        <v>0</v>
      </c>
      <c r="D78" s="818">
        <f>'lokale energieproductie'!C16</f>
        <v>41.596638655462193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8.4025210084033635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35.357142857142861</v>
      </c>
      <c r="C81" s="789">
        <f>SUM(C78:C80)</f>
        <v>0</v>
      </c>
      <c r="D81" s="789">
        <f t="shared" ref="D81:P81" si="9">SUM(D78:D80)</f>
        <v>41.596638655462193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8.4025210084033635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51223.336312036852</v>
      </c>
      <c r="C4" s="463">
        <f>huishoudens!C8</f>
        <v>0</v>
      </c>
      <c r="D4" s="463">
        <f>huishoudens!D8</f>
        <v>128216.001386</v>
      </c>
      <c r="E4" s="463">
        <f>huishoudens!E8</f>
        <v>3670.8825993838132</v>
      </c>
      <c r="F4" s="463">
        <f>huishoudens!F8</f>
        <v>40787.736330640582</v>
      </c>
      <c r="G4" s="463">
        <f>huishoudens!G8</f>
        <v>0</v>
      </c>
      <c r="H4" s="463">
        <f>huishoudens!H8</f>
        <v>0</v>
      </c>
      <c r="I4" s="463">
        <f>huishoudens!I8</f>
        <v>0</v>
      </c>
      <c r="J4" s="463">
        <f>huishoudens!J8</f>
        <v>0</v>
      </c>
      <c r="K4" s="463">
        <f>huishoudens!K8</f>
        <v>0</v>
      </c>
      <c r="L4" s="463">
        <f>huishoudens!L8</f>
        <v>0</v>
      </c>
      <c r="M4" s="463">
        <f>huishoudens!M8</f>
        <v>0</v>
      </c>
      <c r="N4" s="463">
        <f>huishoudens!N8</f>
        <v>13449.102436065339</v>
      </c>
      <c r="O4" s="463">
        <f>huishoudens!O8</f>
        <v>261.07666666666665</v>
      </c>
      <c r="P4" s="464">
        <f>huishoudens!P8</f>
        <v>514.79999999999995</v>
      </c>
      <c r="Q4" s="465">
        <f>SUM(B4:P4)</f>
        <v>238122.93573079328</v>
      </c>
    </row>
    <row r="5" spans="1:17">
      <c r="A5" s="462" t="s">
        <v>156</v>
      </c>
      <c r="B5" s="463">
        <f ca="1">tertiair!B16</f>
        <v>31879.838999999996</v>
      </c>
      <c r="C5" s="463">
        <f ca="1">tertiair!C16</f>
        <v>35.357142857142861</v>
      </c>
      <c r="D5" s="463">
        <f ca="1">tertiair!D16</f>
        <v>93739.447808285709</v>
      </c>
      <c r="E5" s="463">
        <f>tertiair!E16</f>
        <v>514.03132399273386</v>
      </c>
      <c r="F5" s="463">
        <f ca="1">tertiair!F16</f>
        <v>6496.4535822927328</v>
      </c>
      <c r="G5" s="463">
        <f>tertiair!G16</f>
        <v>0</v>
      </c>
      <c r="H5" s="463">
        <f>tertiair!H16</f>
        <v>0</v>
      </c>
      <c r="I5" s="463">
        <f>tertiair!I16</f>
        <v>0</v>
      </c>
      <c r="J5" s="463">
        <f>tertiair!J16</f>
        <v>0</v>
      </c>
      <c r="K5" s="463">
        <f>tertiair!K16</f>
        <v>0</v>
      </c>
      <c r="L5" s="463">
        <f ca="1">tertiair!L16</f>
        <v>0</v>
      </c>
      <c r="M5" s="463">
        <f>tertiair!M16</f>
        <v>0</v>
      </c>
      <c r="N5" s="463">
        <f ca="1">tertiair!N16</f>
        <v>2338.0501100211277</v>
      </c>
      <c r="O5" s="463">
        <f>tertiair!O16</f>
        <v>1.5633333333333335</v>
      </c>
      <c r="P5" s="464">
        <f>tertiair!P16</f>
        <v>0</v>
      </c>
      <c r="Q5" s="462">
        <f t="shared" ref="Q5:Q13" ca="1" si="0">SUM(B5:P5)</f>
        <v>135004.74230078279</v>
      </c>
    </row>
    <row r="6" spans="1:17">
      <c r="A6" s="462" t="s">
        <v>194</v>
      </c>
      <c r="B6" s="463">
        <f>'openbare verlichting'!B8</f>
        <v>1654.1769999999999</v>
      </c>
      <c r="C6" s="463"/>
      <c r="D6" s="463"/>
      <c r="E6" s="463"/>
      <c r="F6" s="463"/>
      <c r="G6" s="463"/>
      <c r="H6" s="463"/>
      <c r="I6" s="463"/>
      <c r="J6" s="463"/>
      <c r="K6" s="463"/>
      <c r="L6" s="463"/>
      <c r="M6" s="463"/>
      <c r="N6" s="463"/>
      <c r="O6" s="463"/>
      <c r="P6" s="464"/>
      <c r="Q6" s="462">
        <f t="shared" si="0"/>
        <v>1654.1769999999999</v>
      </c>
    </row>
    <row r="7" spans="1:17">
      <c r="A7" s="462" t="s">
        <v>112</v>
      </c>
      <c r="B7" s="463">
        <f>landbouw!B8</f>
        <v>1122.6020000000001</v>
      </c>
      <c r="C7" s="463">
        <f>landbouw!C8</f>
        <v>0</v>
      </c>
      <c r="D7" s="463">
        <f>landbouw!D8</f>
        <v>2840.0597499999999</v>
      </c>
      <c r="E7" s="463">
        <f>landbouw!E8</f>
        <v>14.14623140541932</v>
      </c>
      <c r="F7" s="463">
        <f>landbouw!F8</f>
        <v>3873.2581286050977</v>
      </c>
      <c r="G7" s="463">
        <f>landbouw!G8</f>
        <v>0</v>
      </c>
      <c r="H7" s="463">
        <f>landbouw!H8</f>
        <v>0</v>
      </c>
      <c r="I7" s="463">
        <f>landbouw!I8</f>
        <v>0</v>
      </c>
      <c r="J7" s="463">
        <f>landbouw!J8</f>
        <v>168.82657951085181</v>
      </c>
      <c r="K7" s="463">
        <f>landbouw!K8</f>
        <v>0</v>
      </c>
      <c r="L7" s="463">
        <f>landbouw!L8</f>
        <v>0</v>
      </c>
      <c r="M7" s="463">
        <f>landbouw!M8</f>
        <v>0</v>
      </c>
      <c r="N7" s="463">
        <f>landbouw!N8</f>
        <v>0</v>
      </c>
      <c r="O7" s="463">
        <f>landbouw!O8</f>
        <v>0</v>
      </c>
      <c r="P7" s="464">
        <f>landbouw!P8</f>
        <v>0</v>
      </c>
      <c r="Q7" s="462">
        <f t="shared" si="0"/>
        <v>8018.892689521369</v>
      </c>
    </row>
    <row r="8" spans="1:17">
      <c r="A8" s="462" t="s">
        <v>657</v>
      </c>
      <c r="B8" s="463">
        <f>industrie!B18</f>
        <v>37673.83</v>
      </c>
      <c r="C8" s="463">
        <f>industrie!C18</f>
        <v>0</v>
      </c>
      <c r="D8" s="463">
        <f>industrie!D18</f>
        <v>30794.355767999998</v>
      </c>
      <c r="E8" s="463">
        <f>industrie!E18</f>
        <v>2770.72475631928</v>
      </c>
      <c r="F8" s="463">
        <f>industrie!F18</f>
        <v>13391.268266388986</v>
      </c>
      <c r="G8" s="463">
        <f>industrie!G18</f>
        <v>0</v>
      </c>
      <c r="H8" s="463">
        <f>industrie!H18</f>
        <v>0</v>
      </c>
      <c r="I8" s="463">
        <f>industrie!I18</f>
        <v>0</v>
      </c>
      <c r="J8" s="463">
        <f>industrie!J18</f>
        <v>108.00800240695561</v>
      </c>
      <c r="K8" s="463">
        <f>industrie!K18</f>
        <v>0</v>
      </c>
      <c r="L8" s="463">
        <f>industrie!L18</f>
        <v>0</v>
      </c>
      <c r="M8" s="463">
        <f>industrie!M18</f>
        <v>0</v>
      </c>
      <c r="N8" s="463">
        <f>industrie!N18</f>
        <v>6640.6289066581521</v>
      </c>
      <c r="O8" s="463">
        <f>industrie!O18</f>
        <v>0</v>
      </c>
      <c r="P8" s="464">
        <f>industrie!P18</f>
        <v>0</v>
      </c>
      <c r="Q8" s="462">
        <f t="shared" si="0"/>
        <v>91378.815699773375</v>
      </c>
    </row>
    <row r="9" spans="1:17" s="468" customFormat="1">
      <c r="A9" s="466" t="s">
        <v>574</v>
      </c>
      <c r="B9" s="467">
        <f>transport!B14</f>
        <v>9.7850985986129739</v>
      </c>
      <c r="C9" s="467">
        <f>transport!C14</f>
        <v>0</v>
      </c>
      <c r="D9" s="467">
        <f>transport!D14</f>
        <v>16.108283526767782</v>
      </c>
      <c r="E9" s="467">
        <f>transport!E14</f>
        <v>493.18976206068163</v>
      </c>
      <c r="F9" s="467">
        <f>transport!F14</f>
        <v>0</v>
      </c>
      <c r="G9" s="467">
        <f>transport!G14</f>
        <v>110821.69740669118</v>
      </c>
      <c r="H9" s="467">
        <f>transport!H14</f>
        <v>24167.806342870514</v>
      </c>
      <c r="I9" s="467">
        <f>transport!I14</f>
        <v>0</v>
      </c>
      <c r="J9" s="467">
        <f>transport!J14</f>
        <v>0</v>
      </c>
      <c r="K9" s="467">
        <f>transport!K14</f>
        <v>0</v>
      </c>
      <c r="L9" s="467">
        <f>transport!L14</f>
        <v>0</v>
      </c>
      <c r="M9" s="467">
        <f>transport!M14</f>
        <v>6033.9814106528229</v>
      </c>
      <c r="N9" s="467">
        <f>transport!N14</f>
        <v>0</v>
      </c>
      <c r="O9" s="467">
        <f>transport!O14</f>
        <v>0</v>
      </c>
      <c r="P9" s="467">
        <f>transport!P14</f>
        <v>0</v>
      </c>
      <c r="Q9" s="466">
        <f>SUM(B9:P9)</f>
        <v>141542.5683044006</v>
      </c>
    </row>
    <row r="10" spans="1:17">
      <c r="A10" s="462" t="s">
        <v>564</v>
      </c>
      <c r="B10" s="463">
        <f>transport!B54</f>
        <v>0</v>
      </c>
      <c r="C10" s="463">
        <f>transport!C54</f>
        <v>0</v>
      </c>
      <c r="D10" s="463">
        <f>transport!D54</f>
        <v>0</v>
      </c>
      <c r="E10" s="463">
        <f>transport!E54</f>
        <v>0</v>
      </c>
      <c r="F10" s="463">
        <f>transport!F54</f>
        <v>0</v>
      </c>
      <c r="G10" s="463">
        <f>transport!G54</f>
        <v>2498.3521721148832</v>
      </c>
      <c r="H10" s="463">
        <f>transport!H54</f>
        <v>0</v>
      </c>
      <c r="I10" s="463">
        <f>transport!I54</f>
        <v>0</v>
      </c>
      <c r="J10" s="463">
        <f>transport!J54</f>
        <v>0</v>
      </c>
      <c r="K10" s="463">
        <f>transport!K54</f>
        <v>0</v>
      </c>
      <c r="L10" s="463">
        <f>transport!L54</f>
        <v>0</v>
      </c>
      <c r="M10" s="463">
        <f>transport!M54</f>
        <v>111.10783185444562</v>
      </c>
      <c r="N10" s="463">
        <f>transport!N54</f>
        <v>0</v>
      </c>
      <c r="O10" s="463">
        <f>transport!O54</f>
        <v>0</v>
      </c>
      <c r="P10" s="464">
        <f>transport!P54</f>
        <v>0</v>
      </c>
      <c r="Q10" s="462">
        <f t="shared" si="0"/>
        <v>2609.4600039693287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123563.56941063546</v>
      </c>
      <c r="C14" s="473">
        <f t="shared" ref="C14:Q14" ca="1" si="1">SUM(C4:C13)</f>
        <v>35.357142857142861</v>
      </c>
      <c r="D14" s="473">
        <f t="shared" ca="1" si="1"/>
        <v>255605.97299581248</v>
      </c>
      <c r="E14" s="473">
        <f t="shared" si="1"/>
        <v>7462.9746731619289</v>
      </c>
      <c r="F14" s="473">
        <f t="shared" ca="1" si="1"/>
        <v>64548.716307927403</v>
      </c>
      <c r="G14" s="473">
        <f t="shared" si="1"/>
        <v>113320.04957880607</v>
      </c>
      <c r="H14" s="473">
        <f t="shared" si="1"/>
        <v>24167.806342870514</v>
      </c>
      <c r="I14" s="473">
        <f t="shared" si="1"/>
        <v>0</v>
      </c>
      <c r="J14" s="473">
        <f t="shared" si="1"/>
        <v>276.83458191780744</v>
      </c>
      <c r="K14" s="473">
        <f t="shared" si="1"/>
        <v>0</v>
      </c>
      <c r="L14" s="473">
        <f t="shared" ca="1" si="1"/>
        <v>0</v>
      </c>
      <c r="M14" s="473">
        <f t="shared" si="1"/>
        <v>6145.0892425072689</v>
      </c>
      <c r="N14" s="473">
        <f t="shared" ca="1" si="1"/>
        <v>22427.781452744617</v>
      </c>
      <c r="O14" s="473">
        <f t="shared" si="1"/>
        <v>262.64</v>
      </c>
      <c r="P14" s="474">
        <f t="shared" si="1"/>
        <v>514.79999999999995</v>
      </c>
      <c r="Q14" s="474">
        <f t="shared" ca="1" si="1"/>
        <v>618331.59172924084</v>
      </c>
    </row>
    <row r="16" spans="1:17">
      <c r="A16" s="476" t="s">
        <v>569</v>
      </c>
      <c r="B16" s="829">
        <f ca="1">huishoudens!B10</f>
        <v>0.17668814404177907</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9050.5562246016598</v>
      </c>
      <c r="C21" s="463">
        <f t="shared" ref="C21:C30" ca="1" si="3">C4*$C$16</f>
        <v>0</v>
      </c>
      <c r="D21" s="463">
        <f t="shared" ref="D21:D30" si="4">D4*$D$16</f>
        <v>25899.632279972004</v>
      </c>
      <c r="E21" s="463">
        <f t="shared" ref="E21:E30" si="5">E4*$E$16</f>
        <v>833.29035006012566</v>
      </c>
      <c r="F21" s="463">
        <f t="shared" ref="F21:F30" si="6">F4*$F$16</f>
        <v>10890.325600281036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46673.804454914825</v>
      </c>
    </row>
    <row r="22" spans="1:17">
      <c r="A22" s="462" t="s">
        <v>156</v>
      </c>
      <c r="B22" s="463">
        <f t="shared" ca="1" si="2"/>
        <v>5632.7895852607253</v>
      </c>
      <c r="C22" s="463">
        <f t="shared" ca="1" si="3"/>
        <v>8.4025210084033635</v>
      </c>
      <c r="D22" s="463">
        <f t="shared" ca="1" si="4"/>
        <v>18935.368457273715</v>
      </c>
      <c r="E22" s="463">
        <f t="shared" si="5"/>
        <v>116.68511054635059</v>
      </c>
      <c r="F22" s="463">
        <f t="shared" ca="1" si="6"/>
        <v>1734.5531064721597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26427.798780561352</v>
      </c>
    </row>
    <row r="23" spans="1:17">
      <c r="A23" s="462" t="s">
        <v>194</v>
      </c>
      <c r="B23" s="463">
        <f t="shared" ca="1" si="2"/>
        <v>292.27346404659795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292.27346404659795</v>
      </c>
    </row>
    <row r="24" spans="1:17">
      <c r="A24" s="462" t="s">
        <v>112</v>
      </c>
      <c r="B24" s="463">
        <f t="shared" ca="1" si="2"/>
        <v>198.35046387758928</v>
      </c>
      <c r="C24" s="463">
        <f t="shared" ca="1" si="3"/>
        <v>0</v>
      </c>
      <c r="D24" s="463">
        <f t="shared" si="4"/>
        <v>573.6920695</v>
      </c>
      <c r="E24" s="463">
        <f t="shared" si="5"/>
        <v>3.2111945290301858</v>
      </c>
      <c r="F24" s="463">
        <f t="shared" si="6"/>
        <v>1034.1599203375611</v>
      </c>
      <c r="G24" s="463">
        <f t="shared" si="7"/>
        <v>0</v>
      </c>
      <c r="H24" s="463">
        <f t="shared" si="8"/>
        <v>0</v>
      </c>
      <c r="I24" s="463">
        <f t="shared" si="9"/>
        <v>0</v>
      </c>
      <c r="J24" s="463">
        <f t="shared" si="10"/>
        <v>59.764609146841536</v>
      </c>
      <c r="K24" s="463">
        <f t="shared" si="11"/>
        <v>0</v>
      </c>
      <c r="L24" s="463">
        <f t="shared" si="12"/>
        <v>0</v>
      </c>
      <c r="M24" s="463">
        <f t="shared" si="13"/>
        <v>0</v>
      </c>
      <c r="N24" s="463">
        <f t="shared" si="14"/>
        <v>0</v>
      </c>
      <c r="O24" s="463">
        <f t="shared" si="15"/>
        <v>0</v>
      </c>
      <c r="P24" s="464">
        <f t="shared" si="16"/>
        <v>0</v>
      </c>
      <c r="Q24" s="462">
        <f t="shared" ca="1" si="17"/>
        <v>1869.178257391022</v>
      </c>
    </row>
    <row r="25" spans="1:17">
      <c r="A25" s="462" t="s">
        <v>657</v>
      </c>
      <c r="B25" s="463">
        <f t="shared" ca="1" si="2"/>
        <v>6656.5191016454983</v>
      </c>
      <c r="C25" s="463">
        <f t="shared" ca="1" si="3"/>
        <v>0</v>
      </c>
      <c r="D25" s="463">
        <f t="shared" si="4"/>
        <v>6220.4598651360002</v>
      </c>
      <c r="E25" s="463">
        <f t="shared" si="5"/>
        <v>628.95451968447662</v>
      </c>
      <c r="F25" s="463">
        <f t="shared" si="6"/>
        <v>3575.4686271258597</v>
      </c>
      <c r="G25" s="463">
        <f t="shared" si="7"/>
        <v>0</v>
      </c>
      <c r="H25" s="463">
        <f t="shared" si="8"/>
        <v>0</v>
      </c>
      <c r="I25" s="463">
        <f t="shared" si="9"/>
        <v>0</v>
      </c>
      <c r="J25" s="463">
        <f t="shared" si="10"/>
        <v>38.234832852062283</v>
      </c>
      <c r="K25" s="463">
        <f t="shared" si="11"/>
        <v>0</v>
      </c>
      <c r="L25" s="463">
        <f t="shared" si="12"/>
        <v>0</v>
      </c>
      <c r="M25" s="463">
        <f t="shared" si="13"/>
        <v>0</v>
      </c>
      <c r="N25" s="463">
        <f t="shared" si="14"/>
        <v>0</v>
      </c>
      <c r="O25" s="463">
        <f t="shared" si="15"/>
        <v>0</v>
      </c>
      <c r="P25" s="464">
        <f t="shared" si="16"/>
        <v>0</v>
      </c>
      <c r="Q25" s="462">
        <f t="shared" ca="1" si="17"/>
        <v>17119.636946443901</v>
      </c>
    </row>
    <row r="26" spans="1:17" s="468" customFormat="1">
      <c r="A26" s="466" t="s">
        <v>574</v>
      </c>
      <c r="B26" s="823">
        <f t="shared" ca="1" si="2"/>
        <v>1.7289109106547396</v>
      </c>
      <c r="C26" s="467">
        <f t="shared" ca="1" si="3"/>
        <v>0</v>
      </c>
      <c r="D26" s="467">
        <f t="shared" si="4"/>
        <v>3.253873272407092</v>
      </c>
      <c r="E26" s="467">
        <f t="shared" si="5"/>
        <v>111.95407598777473</v>
      </c>
      <c r="F26" s="467">
        <f t="shared" si="6"/>
        <v>0</v>
      </c>
      <c r="G26" s="467">
        <f t="shared" si="7"/>
        <v>29589.393207586545</v>
      </c>
      <c r="H26" s="467">
        <f t="shared" si="8"/>
        <v>6017.7837793747576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35724.113847132139</v>
      </c>
    </row>
    <row r="27" spans="1:17">
      <c r="A27" s="462" t="s">
        <v>564</v>
      </c>
      <c r="B27" s="463">
        <f t="shared" ca="1" si="2"/>
        <v>0</v>
      </c>
      <c r="C27" s="463">
        <f t="shared" ca="1" si="3"/>
        <v>0</v>
      </c>
      <c r="D27" s="463">
        <f t="shared" si="4"/>
        <v>0</v>
      </c>
      <c r="E27" s="463">
        <f t="shared" si="5"/>
        <v>0</v>
      </c>
      <c r="F27" s="463">
        <f t="shared" si="6"/>
        <v>0</v>
      </c>
      <c r="G27" s="463">
        <f t="shared" si="7"/>
        <v>667.06002995467384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667.06002995467384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21832.217750342723</v>
      </c>
      <c r="C31" s="473">
        <f t="shared" ca="1" si="18"/>
        <v>8.4025210084033635</v>
      </c>
      <c r="D31" s="473">
        <f t="shared" ca="1" si="18"/>
        <v>51632.406545154125</v>
      </c>
      <c r="E31" s="473">
        <f t="shared" si="18"/>
        <v>1694.0952508077578</v>
      </c>
      <c r="F31" s="473">
        <f t="shared" ca="1" si="18"/>
        <v>17234.507254216616</v>
      </c>
      <c r="G31" s="473">
        <f t="shared" si="18"/>
        <v>30256.45323754122</v>
      </c>
      <c r="H31" s="473">
        <f t="shared" si="18"/>
        <v>6017.7837793747576</v>
      </c>
      <c r="I31" s="473">
        <f t="shared" si="18"/>
        <v>0</v>
      </c>
      <c r="J31" s="473">
        <f t="shared" si="18"/>
        <v>97.999441998903819</v>
      </c>
      <c r="K31" s="473">
        <f t="shared" si="18"/>
        <v>0</v>
      </c>
      <c r="L31" s="473">
        <f t="shared" ca="1" si="18"/>
        <v>0</v>
      </c>
      <c r="M31" s="473">
        <f t="shared" si="18"/>
        <v>0</v>
      </c>
      <c r="N31" s="473">
        <f t="shared" ca="1" si="18"/>
        <v>0</v>
      </c>
      <c r="O31" s="473">
        <f t="shared" si="18"/>
        <v>0</v>
      </c>
      <c r="P31" s="474">
        <f t="shared" si="18"/>
        <v>0</v>
      </c>
      <c r="Q31" s="474">
        <f t="shared" ca="1" si="18"/>
        <v>128773.86578044452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0.17668814404177907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0.17668814404177907</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0.17668814404177907</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2018-06-27T09:33:06Z</dcterms:modified>
</cp:coreProperties>
</file>