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G14" i="22" l="1"/>
  <c r="L7" i="48"/>
  <c r="L24" s="1"/>
  <c r="E7"/>
  <c r="E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J20" i="15"/>
  <c r="K36" i="14" s="1"/>
  <c r="L31" i="48"/>
  <c r="J5"/>
  <c r="J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8" i="48" l="1"/>
  <c r="Q8" s="1"/>
  <c r="Q14" s="1"/>
  <c r="K41" i="14"/>
  <c r="K53" s="1"/>
  <c r="K55" s="1"/>
  <c r="N25" i="48"/>
  <c r="N31" s="1"/>
  <c r="N14"/>
  <c r="E25"/>
  <c r="E31" s="1"/>
  <c r="E14"/>
  <c r="H55" i="14"/>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l="1"/>
  <c r="F31" s="1"/>
  <c r="F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<sst xmlns="http://schemas.openxmlformats.org/spreadsheetml/2006/main" count="1961" uniqueCount="840">
  <si>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</si>
  <si>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</si>
  <si>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</si>
  <si>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</si>
  <si>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</si>
  <si>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</si>
  <si>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</si>
  <si>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</si>
  <si>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</si>
  <si>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</si>
  <si>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</si>
  <si>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</si>
  <si>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</si>
  <si>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</si>
  <si>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</si>
  <si>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</si>
  <si>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</si>
  <si>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</si>
  <si>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</si>
  <si>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</si>
  <si>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</si>
  <si>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</si>
  <si>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</si>
  <si>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</si>
  <si>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</si>
  <si>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</si>
  <si>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</si>
  <si>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</si>
  <si>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</si>
  <si>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</si>
  <si>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</si>
  <si>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</si>
  <si>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</si>
  <si>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</si>
  <si>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</si>
  <si>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</si>
  <si>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</si>
  <si>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</si>
  <si>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</si>
  <si>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</si>
  <si>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</si>
  <si>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</si>
  <si>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</si>
  <si>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</si>
  <si>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</si>
  <si>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</si>
  <si>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</si>
  <si>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</si>
  <si>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</si>
  <si>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</si>
  <si>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</si>
  <si>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</si>
  <si>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</si>
  <si>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</si>
  <si>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</si>
  <si>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</si>
  <si>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</si>
  <si>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</si>
  <si>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</si>
  <si>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</si>
  <si>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</si>
  <si>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</si>
  <si>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</si>
  <si>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</si>
  <si>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</si>
  <si>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</si>
  <si>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</si>
  <si>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</si>
  <si>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</si>
  <si>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</si>
  <si>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</si>
  <si>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</si>
  <si>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</si>
  <si>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</si>
  <si>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</si>
  <si>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</si>
  <si>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</si>
  <si>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</si>
  <si>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</si>
  <si>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</si>
  <si>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</si>
  <si>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</si>
  <si>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</si>
  <si>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</si>
  <si>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</si>
  <si>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</si>
  <si>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</si>
  <si>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</si>
  <si>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</si>
  <si>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</si>
  <si>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</si>
  <si>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</si>
  <si>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</si>
  <si>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</si>
  <si>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</si>
  <si>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</si>
  <si>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</si>
  <si>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</si>
  <si>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</si>
  <si>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</si>
  <si>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</si>
  <si>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</si>
  <si>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</si>
  <si>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</si>
  <si>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</si>
  <si>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</si>
  <si>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</si>
  <si>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</si>
  <si>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</si>
  <si>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</si>
  <si>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</si>
  <si>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</si>
  <si>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</si>
  <si>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</si>
  <si>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</si>
  <si>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</si>
  <si>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</si>
  <si>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</si>
  <si>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</si>
  <si>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</si>
  <si>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</si>
  <si>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</si>
  <si>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</si>
  <si>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</si>
  <si>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</si>
  <si>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</si>
  <si>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</si>
  <si>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</si>
  <si>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</si>
  <si>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</si>
  <si>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</si>
  <si>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</si>
  <si>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</si>
  <si>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</si>
  <si>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</si>
  <si>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</si>
  <si>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</si>
  <si>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</si>
  <si>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</si>
  <si>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</si>
  <si>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</si>
  <si>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</si>
  <si>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</si>
  <si>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</si>
  <si>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</si>
  <si>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</si>
  <si>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</si>
  <si>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</si>
  <si>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</si>
  <si>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</si>
  <si>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</si>
  <si>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</si>
  <si>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</si>
  <si>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</si>
  <si>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</si>
  <si>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</si>
  <si>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</si>
  <si>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</si>
  <si>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</si>
  <si>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</si>
  <si>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</si>
  <si>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</si>
  <si>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</si>
  <si>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</si>
  <si>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</si>
  <si>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</si>
  <si>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</si>
  <si>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</si>
  <si>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</si>
  <si>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</si>
  <si>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</si>
  <si>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</si>
  <si>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</si>
  <si>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</si>
  <si>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</si>
  <si>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</si>
  <si>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</si>
  <si>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</si>
  <si>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</si>
  <si>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</si>
  <si>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</si>
  <si>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</si>
  <si>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</si>
  <si>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</si>
  <si>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</si>
  <si>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</si>
  <si>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</si>
  <si>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</si>
  <si>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</si>
  <si>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</si>
  <si>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</si>
  <si>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</si>
  <si>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</si>
  <si>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</si>
  <si>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</si>
  <si>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</si>
  <si>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</si>
  <si>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</si>
  <si>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</si>
  <si>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</si>
  <si>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</si>
  <si>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</si>
  <si>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</si>
  <si>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</si>
  <si>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</si>
  <si>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</si>
  <si>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</si>
  <si>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</si>
  <si>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</si>
  <si>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</si>
  <si>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</si>
  <si>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</si>
  <si>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</si>
  <si>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</si>
  <si>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</si>
  <si>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</si>
  <si>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</si>
  <si>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</si>
  <si>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</si>
  <si>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</si>
  <si>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</si>
  <si>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</si>
  <si>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</si>
  <si>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</si>
  <si>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</si>
  <si>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</si>
  <si>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</si>
  <si>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</si>
  <si>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</si>
  <si>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</si>
  <si>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</si>
  <si>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</si>
  <si>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</si>
  <si>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</si>
  <si>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</si>
  <si>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</si>
  <si>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</si>
  <si>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</si>
  <si>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</si>
  <si>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</si>
  <si>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</si>
  <si>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</si>
  <si>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</si>
  <si>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</si>
  <si>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</si>
  <si>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</si>
  <si>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</si>
  <si>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</si>
  <si>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</si>
  <si>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</si>
  <si>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</si>
  <si>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</si>
  <si>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</si>
  <si>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</si>
  <si>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</si>
  <si>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</si>
  <si>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</si>
  <si>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</si>
  <si>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</si>
  <si>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</si>
  <si>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</si>
  <si>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</si>
  <si>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</si>
  <si>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</si>
  <si>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</si>
  <si>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</si>
  <si>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</si>
  <si>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</si>
  <si>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</si>
  <si>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</si>
  <si>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</si>
  <si>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</si>
  <si>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</si>
  <si>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</si>
  <si>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</si>
  <si>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</si>
  <si>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</si>
  <si>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</si>
  <si>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</si>
  <si>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</si>
  <si>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</si>
  <si>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</si>
  <si>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</si>
  <si>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</si>
  <si>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</si>
  <si>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</si>
  <si>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</si>
  <si>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</si>
  <si>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</si>
  <si>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</si>
  <si>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</si>
  <si>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</si>
  <si>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</si>
  <si>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</si>
  <si>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</si>
  <si>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</si>
  <si>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</si>
  <si>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</si>
  <si>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</si>
  <si>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</si>
  <si>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</si>
  <si>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</si>
  <si>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</si>
  <si>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</si>
  <si>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</si>
  <si>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</si>
  <si>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</si>
  <si>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</si>
  <si>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</si>
  <si>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</si>
  <si>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</si>
  <si>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</si>
  <si>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</si>
  <si>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</si>
  <si>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</si>
  <si>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</si>
  <si>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</si>
  <si>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</si>
  <si>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</si>
  <si>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</si>
  <si>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</si>
  <si>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</si>
  <si>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</si>
  <si>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</si>
  <si>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</si>
  <si>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</si>
  <si>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</si>
  <si>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</si>
  <si>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</si>
  <si>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</si>
  <si>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</si>
  <si>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</si>
  <si>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</si>
  <si>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</si>
  <si>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</si>
  <si>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</si>
  <si>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</si>
  <si>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</si>
  <si>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</si>
  <si>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</si>
  <si>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</si>
  <si>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</si>
  <si>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</si>
  <si>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</si>
  <si>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</si>
  <si>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</si>
  <si>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</si>
  <si>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</si>
  <si>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</si>
  <si>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</si>
  <si>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</si>
  <si>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</si>
  <si>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</si>
  <si>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</si>
  <si>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</si>
  <si>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</si>
  <si>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</si>
  <si>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</si>
  <si>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</si>
  <si>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</si>
  <si>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</si>
  <si>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</si>
  <si>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</si>
  <si>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</si>
  <si>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</si>
  <si>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</si>
  <si>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</si>
  <si>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</si>
  <si>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</si>
  <si>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</si>
  <si>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</si>
  <si>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</si>
  <si>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</si>
  <si>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</si>
  <si>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</si>
  <si>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</si>
  <si>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</si>
  <si>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</si>
  <si>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</si>
  <si>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</si>
  <si>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</si>
  <si>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</si>
  <si>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</si>
  <si>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</si>
  <si>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</si>
  <si>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</si>
  <si>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</si>
  <si>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</si>
  <si>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</si>
  <si>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</si>
  <si>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</si>
  <si>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</si>
  <si>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</si>
  <si>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</si>
  <si>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</si>
  <si>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</si>
  <si>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</si>
  <si>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</si>
  <si>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</si>
  <si>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</si>
  <si>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</si>
  <si>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</si>
  <si>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</si>
  <si>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</si>
  <si>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</si>
  <si>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</si>
  <si>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</si>
  <si>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</si>
  <si>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</si>
  <si>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</si>
  <si>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</si>
  <si>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</si>
  <si>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</si>
  <si>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</si>
  <si>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</si>
  <si>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</si>
  <si>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</si>
  <si>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</si>
  <si>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</si>
  <si>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</si>
  <si>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</si>
  <si>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</si>
  <si>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</si>
  <si>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</si>
  <si>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</si>
  <si>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</si>
  <si>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</si>
  <si>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</si>
  <si>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</si>
  <si>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</si>
  <si>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</si>
  <si>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</si>
  <si>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</si>
  <si>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</si>
  <si>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</si>
  <si>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</si>
  <si>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</si>
  <si>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</si>
  <si>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</si>
  <si>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</si>
  <si>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</si>
  <si>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</si>
  <si>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</si>
  <si>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</si>
  <si>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</si>
  <si>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</si>
  <si>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</si>
  <si>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</si>
  <si>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</si>
  <si>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</si>
  <si>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</si>
  <si>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</si>
  <si>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</si>
  <si>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</si>
  <si>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</si>
  <si>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</si>
  <si>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</si>
  <si>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</si>
  <si>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</si>
  <si>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</si>
  <si>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</si>
  <si>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</si>
  <si>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</si>
  <si>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</si>
  <si>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</si>
  <si>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</si>
  <si>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</si>
  <si>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</si>
  <si>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</si>
  <si>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</si>
  <si>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</si>
  <si>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</si>
  <si>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</si>
  <si>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</si>
  <si>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</si>
  <si>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</si>
  <si>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</si>
  <si>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</si>
  <si>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</si>
  <si>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</si>
  <si>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</si>
  <si>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</si>
  <si>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</si>
  <si>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</si>
  <si>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</si>
  <si>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</si>
  <si>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</si>
  <si>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</si>
  <si>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</si>
  <si>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</si>
  <si>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</si>
  <si>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</si>
  <si>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</si>
  <si>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</si>
  <si>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</si>
  <si>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</si>
  <si>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</si>
  <si>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</si>
  <si>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</si>
  <si>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</si>
  <si>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</si>
  <si>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</si>
  <si>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</si>
  <si>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</si>
  <si>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</si>
  <si>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</si>
  <si>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</si>
  <si>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</si>
  <si>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</si>
  <si>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</si>
  <si>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</si>
  <si>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</si>
  <si>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</si>
  <si>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</si>
  <si>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</si>
  <si>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</si>
  <si>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</si>
  <si>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</si>
  <si>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</si>
  <si>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</si>
  <si>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</si>
  <si>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</si>
  <si>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</si>
  <si>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</si>
  <si>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</si>
  <si>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</si>
  <si>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</si>
  <si>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</si>
  <si>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</si>
  <si>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</si>
  <si>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</si>
  <si>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</si>
  <si>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</si>
  <si>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</si>
  <si>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</si>
  <si>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</si>
  <si>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</si>
  <si>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</si>
  <si>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</si>
  <si>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</si>
  <si>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</si>
  <si>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</si>
  <si>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</si>
  <si>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</si>
  <si>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</si>
  <si>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</si>
  <si>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</si>
  <si>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</si>
  <si>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</si>
  <si>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</si>
  <si>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</si>
  <si>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</si>
  <si>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</si>
  <si>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</si>
  <si>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</si>
  <si>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</si>
  <si>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</si>
  <si>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</si>
  <si>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</si>
  <si>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</si>
  <si>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</si>
  <si>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</si>
  <si>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</si>
  <si>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</si>
  <si>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</si>
  <si>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</si>
  <si>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</si>
  <si>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</si>
  <si>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</si>
  <si>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</si>
  <si>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</si>
  <si>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</si>
  <si>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</si>
  <si>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</si>
  <si>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</si>
  <si>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</si>
  <si>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</si>
  <si>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</si>
  <si>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</si>
  <si>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</si>
  <si>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</si>
  <si>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</si>
  <si>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</si>
  <si>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</si>
  <si>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</si>
  <si>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</si>
  <si>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</si>
  <si>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</si>
  <si>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</si>
  <si>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</si>
  <si>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</si>
  <si>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</si>
  <si>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</si>
  <si>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</si>
  <si>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</si>
  <si>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</si>
  <si>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</si>
  <si>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</si>
  <si>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</si>
  <si>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</si>
  <si>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</si>
  <si>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</si>
  <si>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</si>
  <si>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</si>
  <si>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</si>
  <si>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</si>
  <si>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</si>
  <si>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</si>
  <si>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</si>
  <si>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</si>
  <si>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</si>
  <si>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</si>
  <si>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</si>
  <si>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</si>
  <si>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</si>
  <si>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</si>
  <si>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</si>
  <si>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</si>
  <si>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</si>
  <si>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</si>
  <si>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</si>
  <si>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</si>
  <si>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</si>
  <si>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</si>
  <si>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</si>
  <si>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</si>
  <si>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</si>
  <si>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</si>
  <si>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</si>
  <si>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</si>
  <si>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</si>
  <si>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</si>
  <si>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</si>
  <si>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</si>
  <si>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</si>
  <si>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</si>
  <si>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</si>
  <si>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</si>
  <si>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</si>
  <si>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</si>
  <si>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</si>
  <si>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</si>
  <si>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</si>
  <si>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</si>
  <si>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</si>
  <si>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</si>
  <si>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</si>
  <si>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</si>
  <si>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</si>
  <si>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</si>
  <si>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</si>
  <si>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</si>
  <si>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</si>
  <si>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</si>
  <si>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</si>
  <si>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</si>
  <si>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</si>
  <si>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</si>
  <si>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</si>
  <si>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</si>
  <si>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</si>
  <si>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</si>
  <si>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</si>
  <si>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</si>
  <si>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</si>
  <si>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</si>
  <si>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</si>
  <si>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</si>
  <si>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</si>
  <si>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</si>
  <si>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</si>
  <si>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</si>
  <si>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</si>
  <si>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</si>
  <si>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</si>
  <si>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</si>
  <si>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</si>
  <si>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</si>
  <si>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</si>
  <si>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</si>
  <si>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</si>
  <si>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</si>
  <si>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</si>
  <si>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</si>
  <si>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</si>
  <si>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</si>
  <si>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</si>
  <si>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</si>
  <si>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</si>
  <si>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</si>
  <si>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</si>
  <si>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</si>
  <si>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</si>
  <si>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</si>
  <si>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</si>
  <si>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</si>
  <si>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</si>
  <si>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</si>
  <si>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</si>
  <si>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</si>
  <si>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</si>
  <si>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</si>
  <si>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</si>
  <si>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</si>
  <si>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</si>
  <si>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</si>
  <si>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</si>
  <si>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</si>
  <si>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</si>
  <si>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</si>
  <si>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</si>
  <si>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</si>
  <si>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</si>
  <si>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</si>
  <si>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</si>
  <si>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</si>
  <si>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</si>
  <si>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</si>
  <si>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</si>
  <si>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</si>
  <si>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</si>
  <si>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</si>
  <si>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</si>
  <si>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</si>
  <si>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</si>
  <si>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</si>
  <si>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</si>
  <si>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</si>
  <si>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</si>
  <si>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</si>
  <si>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</si>
  <si>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</si>
  <si>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</si>
  <si>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</si>
  <si>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</si>
  <si>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</si>
  <si>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</si>
  <si>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</si>
  <si>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</si>
  <si>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</si>
  <si>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</si>
  <si>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</si>
  <si>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</si>
  <si>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</si>
  <si>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</si>
  <si>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</si>
  <si>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</si>
  <si>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</si>
  <si>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</si>
  <si>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</si>
  <si>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</si>
  <si>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</si>
  <si>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</si>
  <si>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</si>
  <si>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</si>
  <si>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</si>
  <si>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</si>
  <si>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</si>
  <si>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</si>
  <si>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</si>
  <si>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</si>
  <si>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</si>
  <si>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</si>
  <si>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</si>
  <si>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</si>
  <si>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</si>
  <si>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</si>
  <si>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</si>
  <si>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</si>
  <si>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</si>
  <si>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</si>
  <si>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</si>
  <si>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</si>
  <si>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</si>
  <si>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</si>
  <si>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</si>
  <si>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</si>
  <si>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</si>
  <si>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</si>
  <si>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</si>
  <si>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</si>
  <si>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</si>
  <si>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</si>
  <si>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</si>
  <si>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</si>
  <si>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</si>
  <si>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</si>
  <si>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</si>
  <si>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</si>
  <si>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</si>
  <si>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</si>
  <si>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</si>
  <si>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</si>
  <si>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</si>
  <si>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</si>
  <si>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</si>
  <si>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</si>
  <si>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</si>
  <si>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</si>
  <si>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</si>
  <si>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</si>
  <si>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</si>
  <si>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</si>
  <si>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</si>
  <si>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</si>
  <si>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</si>
  <si>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</si>
  <si>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</si>
  <si>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</si>
  <si>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</si>
  <si>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</si>
  <si>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</si>
  <si>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</si>
  <si>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</si>
  <si>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</si>
  <si>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</si>
  <si>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</si>
  <si>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</si>
  <si>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</si>
  <si>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</si>
  <si>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</si>
  <si>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</si>
  <si>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</si>
  <si>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</si>
  <si>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</si>
  <si>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</si>
  <si>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</si>
  <si>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</si>
  <si>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</si>
  <si>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</si>
  <si>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</si>
  <si>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</si>
  <si>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</si>
  <si>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73028</t>
  </si>
  <si>
    <t>HERSTAPPE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</si>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</sst>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873.35671068443969</c:v>
                </c:pt>
                <c:pt idx="1">
                  <c:v>42.227558386791344</c:v>
                </c:pt>
                <c:pt idx="2">
                  <c:v>11.154</c:v>
                </c:pt>
                <c:pt idx="3">
                  <c:v>253.71268891536479</c:v>
                </c:pt>
                <c:pt idx="4">
                  <c:v>23.685975252432463</c:v>
                </c:pt>
                <c:pt idx="5">
                  <c:v>2751.356120815582</c:v>
                </c:pt>
                <c:pt idx="6">
                  <c:v>16.75537795077998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873.35671068443969</c:v>
                </c:pt>
                <c:pt idx="1">
                  <c:v>42.227558386791344</c:v>
                </c:pt>
                <c:pt idx="2">
                  <c:v>11.154</c:v>
                </c:pt>
                <c:pt idx="3">
                  <c:v>253.71268891536479</c:v>
                </c:pt>
                <c:pt idx="4">
                  <c:v>23.685975252432463</c:v>
                </c:pt>
                <c:pt idx="5">
                  <c:v>2751.356120815582</c:v>
                </c:pt>
                <c:pt idx="6">
                  <c:v>16.75537795077998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213.61256302063128</c:v>
                </c:pt>
                <c:pt idx="1">
                  <c:v>8.3568511011771029</c:v>
                </c:pt>
                <c:pt idx="2">
                  <c:v>2.2261522119177739</c:v>
                </c:pt>
                <c:pt idx="3">
                  <c:v>62.203992483438633</c:v>
                </c:pt>
                <c:pt idx="4">
                  <c:v>4.3871407929032626</c:v>
                </c:pt>
                <c:pt idx="5">
                  <c:v>694.4444342366462</c:v>
                </c:pt>
                <c:pt idx="6">
                  <c:v>4.2832014672567276</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213.61256302063128</c:v>
                </c:pt>
                <c:pt idx="1">
                  <c:v>8.3568511011771029</c:v>
                </c:pt>
                <c:pt idx="2">
                  <c:v>2.2261522119177739</c:v>
                </c:pt>
                <c:pt idx="3">
                  <c:v>62.203992483438633</c:v>
                </c:pt>
                <c:pt idx="4">
                  <c:v>4.3871407929032626</c:v>
                </c:pt>
                <c:pt idx="5">
                  <c:v>694.4444342366462</c:v>
                </c:pt>
                <c:pt idx="6">
                  <c:v>4.2832014672567276</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73028</v>
      </c>
      <c r="B6" s="398"/>
      <c r="C6" s="399"/>
    </row>
    <row r="7" spans="1:7" s="396" customFormat="1" ht="15.75" customHeight="1">
      <c r="A7" s="400" t="str">
        <f>txtMunicipality</f>
        <v>HERSTAPPE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43.903999999999996</v>
      </c>
      <c r="D10" s="704">
        <f ca="1">tertiair!C16</f>
        <v>0</v>
      </c>
      <c r="E10" s="704">
        <f ca="1">tertiair!D16</f>
        <v>0</v>
      </c>
      <c r="F10" s="704">
        <f>tertiair!E16</f>
        <v>0.39724121849503075</v>
      </c>
      <c r="G10" s="704">
        <f ca="1">tertiair!F16</f>
        <v>6.4806143212337686</v>
      </c>
      <c r="H10" s="704">
        <f>tertiair!G16</f>
        <v>0</v>
      </c>
      <c r="I10" s="704">
        <f>tertiair!H16</f>
        <v>0</v>
      </c>
      <c r="J10" s="704">
        <f>tertiair!I16</f>
        <v>0</v>
      </c>
      <c r="K10" s="704">
        <f>tertiair!J16</f>
        <v>0</v>
      </c>
      <c r="L10" s="704">
        <f>tertiair!K16</f>
        <v>0</v>
      </c>
      <c r="M10" s="704">
        <f ca="1">tertiair!L16</f>
        <v>0</v>
      </c>
      <c r="N10" s="704">
        <f>tertiair!M16</f>
        <v>0</v>
      </c>
      <c r="O10" s="704">
        <f ca="1">tertiair!N16</f>
        <v>2.5997028470625438</v>
      </c>
      <c r="P10" s="704">
        <f>tertiair!O16</f>
        <v>0</v>
      </c>
      <c r="Q10" s="705">
        <f>tertiair!P16</f>
        <v>0</v>
      </c>
      <c r="R10" s="707">
        <f ca="1">SUM(C10:Q10)</f>
        <v>53.38155838679134</v>
      </c>
      <c r="S10" s="67"/>
    </row>
    <row r="11" spans="1:19" s="459" customFormat="1">
      <c r="A11" s="858" t="s">
        <v>225</v>
      </c>
      <c r="B11" s="863"/>
      <c r="C11" s="704">
        <f>huishoudens!B8</f>
        <v>173.83147952220531</v>
      </c>
      <c r="D11" s="704">
        <f>huishoudens!C8</f>
        <v>0</v>
      </c>
      <c r="E11" s="704">
        <f>huishoudens!D8</f>
        <v>234.21332000000004</v>
      </c>
      <c r="F11" s="704">
        <f>huishoudens!E8</f>
        <v>0</v>
      </c>
      <c r="G11" s="704">
        <f>huishoudens!F8</f>
        <v>374.24581382112871</v>
      </c>
      <c r="H11" s="704">
        <f>huishoudens!G8</f>
        <v>0</v>
      </c>
      <c r="I11" s="704">
        <f>huishoudens!H8</f>
        <v>0</v>
      </c>
      <c r="J11" s="704">
        <f>huishoudens!I8</f>
        <v>0</v>
      </c>
      <c r="K11" s="704">
        <f>huishoudens!J8</f>
        <v>89.502764007772157</v>
      </c>
      <c r="L11" s="704">
        <f>huishoudens!K8</f>
        <v>0</v>
      </c>
      <c r="M11" s="704">
        <f>huishoudens!L8</f>
        <v>0</v>
      </c>
      <c r="N11" s="704">
        <f>huishoudens!M8</f>
        <v>0</v>
      </c>
      <c r="O11" s="704">
        <f>huishoudens!N8</f>
        <v>0</v>
      </c>
      <c r="P11" s="704">
        <f>huishoudens!O8</f>
        <v>1.5633333333333335</v>
      </c>
      <c r="Q11" s="705">
        <f>huishoudens!P8</f>
        <v>0</v>
      </c>
      <c r="R11" s="707">
        <f>SUM(C11:Q11)</f>
        <v>873.35671068443969</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15.9</v>
      </c>
      <c r="D13" s="704">
        <f>industrie!C18</f>
        <v>0</v>
      </c>
      <c r="E13" s="704">
        <f>industrie!D18</f>
        <v>0</v>
      </c>
      <c r="F13" s="704">
        <f>industrie!E18</f>
        <v>0.88703182499908673</v>
      </c>
      <c r="G13" s="704">
        <f>industrie!F18</f>
        <v>3.7377660057212019</v>
      </c>
      <c r="H13" s="704">
        <f>industrie!G18</f>
        <v>0</v>
      </c>
      <c r="I13" s="704">
        <f>industrie!H18</f>
        <v>0</v>
      </c>
      <c r="J13" s="704">
        <f>industrie!I18</f>
        <v>0</v>
      </c>
      <c r="K13" s="704">
        <f>industrie!J18</f>
        <v>4.0752699891032154E-2</v>
      </c>
      <c r="L13" s="704">
        <f>industrie!K18</f>
        <v>0</v>
      </c>
      <c r="M13" s="704">
        <f>industrie!L18</f>
        <v>0</v>
      </c>
      <c r="N13" s="704">
        <f>industrie!M18</f>
        <v>0</v>
      </c>
      <c r="O13" s="704">
        <f>industrie!N18</f>
        <v>3.1204247218211418</v>
      </c>
      <c r="P13" s="704">
        <f>industrie!O18</f>
        <v>0</v>
      </c>
      <c r="Q13" s="705">
        <f>industrie!P18</f>
        <v>0</v>
      </c>
      <c r="R13" s="707">
        <f>SUM(C13:Q13)</f>
        <v>23.685975252432463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233.63547952220532</v>
      </c>
      <c r="D15" s="709">
        <f t="shared" ref="D15:Q15" ca="1" si="0">SUM(D9:D14)</f>
        <v>0</v>
      </c>
      <c r="E15" s="709">
        <f t="shared" ca="1" si="0"/>
        <v>234.21332000000004</v>
      </c>
      <c r="F15" s="709">
        <f t="shared" si="0"/>
        <v>1.2842730434941174</v>
      </c>
      <c r="G15" s="709">
        <f t="shared" ca="1" si="0"/>
        <v>384.46419414808366</v>
      </c>
      <c r="H15" s="709">
        <f t="shared" si="0"/>
        <v>0</v>
      </c>
      <c r="I15" s="709">
        <f t="shared" si="0"/>
        <v>0</v>
      </c>
      <c r="J15" s="709">
        <f t="shared" si="0"/>
        <v>0</v>
      </c>
      <c r="K15" s="709">
        <f t="shared" si="0"/>
        <v>89.543516707663187</v>
      </c>
      <c r="L15" s="709">
        <f t="shared" si="0"/>
        <v>0</v>
      </c>
      <c r="M15" s="709">
        <f t="shared" ca="1" si="0"/>
        <v>0</v>
      </c>
      <c r="N15" s="709">
        <f t="shared" si="0"/>
        <v>0</v>
      </c>
      <c r="O15" s="709">
        <f t="shared" ca="1" si="0"/>
        <v>5.7201275688836857</v>
      </c>
      <c r="P15" s="709">
        <f t="shared" si="0"/>
        <v>1.5633333333333335</v>
      </c>
      <c r="Q15" s="710">
        <f t="shared" si="0"/>
        <v>0</v>
      </c>
      <c r="R15" s="711">
        <f ca="1">SUM(R9:R14)</f>
        <v>950.42424432366352</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16.04195306088662</v>
      </c>
      <c r="I18" s="704">
        <f>transport!H54</f>
        <v>0</v>
      </c>
      <c r="J18" s="704">
        <f>transport!I54</f>
        <v>0</v>
      </c>
      <c r="K18" s="704">
        <f>transport!J54</f>
        <v>0</v>
      </c>
      <c r="L18" s="704">
        <f>transport!K54</f>
        <v>0</v>
      </c>
      <c r="M18" s="704">
        <f>transport!L54</f>
        <v>0</v>
      </c>
      <c r="N18" s="704">
        <f>transport!M54</f>
        <v>0.71342488989336084</v>
      </c>
      <c r="O18" s="704">
        <f>transport!N54</f>
        <v>0</v>
      </c>
      <c r="P18" s="704">
        <f>transport!O54</f>
        <v>0</v>
      </c>
      <c r="Q18" s="705">
        <f>transport!P54</f>
        <v>0</v>
      </c>
      <c r="R18" s="707">
        <f>SUM(C18:Q18)</f>
        <v>16.75537795077998</v>
      </c>
      <c r="S18" s="67"/>
    </row>
    <row r="19" spans="1:19" s="459" customFormat="1" ht="15" thickBot="1">
      <c r="A19" s="858" t="s">
        <v>307</v>
      </c>
      <c r="B19" s="863"/>
      <c r="C19" s="713">
        <f>transport!B14</f>
        <v>0.19536625708358074</v>
      </c>
      <c r="D19" s="713">
        <f>transport!C14</f>
        <v>0</v>
      </c>
      <c r="E19" s="713">
        <f>transport!D14</f>
        <v>0.31158035519292104</v>
      </c>
      <c r="F19" s="713">
        <f>transport!E14</f>
        <v>9.5884756076263873</v>
      </c>
      <c r="G19" s="713">
        <f>transport!F14</f>
        <v>0</v>
      </c>
      <c r="H19" s="713">
        <f>transport!G14</f>
        <v>2155.4461586739794</v>
      </c>
      <c r="I19" s="713">
        <f>transport!H14</f>
        <v>468.52126438654528</v>
      </c>
      <c r="J19" s="713">
        <f>transport!I14</f>
        <v>0</v>
      </c>
      <c r="K19" s="713">
        <f>transport!J14</f>
        <v>0</v>
      </c>
      <c r="L19" s="713">
        <f>transport!K14</f>
        <v>0</v>
      </c>
      <c r="M19" s="713">
        <f>transport!L14</f>
        <v>0</v>
      </c>
      <c r="N19" s="713">
        <f>transport!M14</f>
        <v>117.29327553515455</v>
      </c>
      <c r="O19" s="713">
        <f>transport!N14</f>
        <v>0</v>
      </c>
      <c r="P19" s="713">
        <f>transport!O14</f>
        <v>0</v>
      </c>
      <c r="Q19" s="714">
        <f>transport!P14</f>
        <v>0</v>
      </c>
      <c r="R19" s="715">
        <f>SUM(C19:Q19)</f>
        <v>2751.356120815582</v>
      </c>
      <c r="S19" s="67"/>
    </row>
    <row r="20" spans="1:19" s="459" customFormat="1" ht="15.75" thickBot="1">
      <c r="A20" s="716" t="s">
        <v>230</v>
      </c>
      <c r="B20" s="866"/>
      <c r="C20" s="861">
        <f>SUM(C17:C19)</f>
        <v>0.19536625708358074</v>
      </c>
      <c r="D20" s="717">
        <f t="shared" ref="D20:R20" si="1">SUM(D17:D19)</f>
        <v>0</v>
      </c>
      <c r="E20" s="717">
        <f t="shared" si="1"/>
        <v>0.31158035519292104</v>
      </c>
      <c r="F20" s="717">
        <f t="shared" si="1"/>
        <v>9.5884756076263873</v>
      </c>
      <c r="G20" s="717">
        <f t="shared" si="1"/>
        <v>0</v>
      </c>
      <c r="H20" s="717">
        <f t="shared" si="1"/>
        <v>2171.4881117348659</v>
      </c>
      <c r="I20" s="717">
        <f t="shared" si="1"/>
        <v>468.52126438654528</v>
      </c>
      <c r="J20" s="717">
        <f t="shared" si="1"/>
        <v>0</v>
      </c>
      <c r="K20" s="717">
        <f t="shared" si="1"/>
        <v>0</v>
      </c>
      <c r="L20" s="717">
        <f t="shared" si="1"/>
        <v>0</v>
      </c>
      <c r="M20" s="717">
        <f t="shared" si="1"/>
        <v>0</v>
      </c>
      <c r="N20" s="717">
        <f t="shared" si="1"/>
        <v>118.00670042504791</v>
      </c>
      <c r="O20" s="717">
        <f t="shared" si="1"/>
        <v>0</v>
      </c>
      <c r="P20" s="717">
        <f t="shared" si="1"/>
        <v>0</v>
      </c>
      <c r="Q20" s="718">
        <f t="shared" si="1"/>
        <v>0</v>
      </c>
      <c r="R20" s="719">
        <f t="shared" si="1"/>
        <v>2768.1114987663618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44.706000000000003</v>
      </c>
      <c r="D22" s="713">
        <f>+landbouw!C8</f>
        <v>0</v>
      </c>
      <c r="E22" s="713">
        <f>+landbouw!D8</f>
        <v>47.473162000000002</v>
      </c>
      <c r="F22" s="713">
        <f>+landbouw!E8</f>
        <v>0.56335319303784959</v>
      </c>
      <c r="G22" s="713">
        <f>+landbouw!F8</f>
        <v>154.2468995221989</v>
      </c>
      <c r="H22" s="713">
        <f>+landbouw!G8</f>
        <v>0</v>
      </c>
      <c r="I22" s="713">
        <f>+landbouw!H8</f>
        <v>0</v>
      </c>
      <c r="J22" s="713">
        <f>+landbouw!I8</f>
        <v>0</v>
      </c>
      <c r="K22" s="713">
        <f>+landbouw!J8</f>
        <v>6.723274200128043</v>
      </c>
      <c r="L22" s="713">
        <f>+landbouw!K8</f>
        <v>0</v>
      </c>
      <c r="M22" s="713">
        <f>+landbouw!L8</f>
        <v>0</v>
      </c>
      <c r="N22" s="713">
        <f>+landbouw!M8</f>
        <v>0</v>
      </c>
      <c r="O22" s="713">
        <f>+landbouw!N8</f>
        <v>0</v>
      </c>
      <c r="P22" s="713">
        <f>+landbouw!O8</f>
        <v>0</v>
      </c>
      <c r="Q22" s="714">
        <f>+landbouw!P8</f>
        <v>0</v>
      </c>
      <c r="R22" s="715">
        <f>SUM(C22:Q22)</f>
        <v>253.71268891536479</v>
      </c>
      <c r="S22" s="67"/>
    </row>
    <row r="23" spans="1:19" s="459" customFormat="1" ht="17.25" thickTop="1" thickBot="1">
      <c r="A23" s="720" t="s">
        <v>116</v>
      </c>
      <c r="B23" s="852"/>
      <c r="C23" s="721">
        <f ca="1">C20+C15+C22</f>
        <v>278.53684577928891</v>
      </c>
      <c r="D23" s="721">
        <f t="shared" ref="D23:Q23" ca="1" si="2">D20+D15+D22</f>
        <v>0</v>
      </c>
      <c r="E23" s="721">
        <f t="shared" ca="1" si="2"/>
        <v>281.99806235519293</v>
      </c>
      <c r="F23" s="721">
        <f t="shared" si="2"/>
        <v>11.436101844158355</v>
      </c>
      <c r="G23" s="721">
        <f t="shared" ca="1" si="2"/>
        <v>538.71109367028259</v>
      </c>
      <c r="H23" s="721">
        <f t="shared" si="2"/>
        <v>2171.4881117348659</v>
      </c>
      <c r="I23" s="721">
        <f t="shared" si="2"/>
        <v>468.52126438654528</v>
      </c>
      <c r="J23" s="721">
        <f t="shared" si="2"/>
        <v>0</v>
      </c>
      <c r="K23" s="721">
        <f t="shared" si="2"/>
        <v>96.266790907791233</v>
      </c>
      <c r="L23" s="721">
        <f t="shared" si="2"/>
        <v>0</v>
      </c>
      <c r="M23" s="721">
        <f t="shared" ca="1" si="2"/>
        <v>0</v>
      </c>
      <c r="N23" s="721">
        <f t="shared" si="2"/>
        <v>118.00670042504791</v>
      </c>
      <c r="O23" s="721">
        <f t="shared" ca="1" si="2"/>
        <v>5.7201275688836857</v>
      </c>
      <c r="P23" s="721">
        <f t="shared" si="2"/>
        <v>1.5633333333333335</v>
      </c>
      <c r="Q23" s="722">
        <f t="shared" si="2"/>
        <v>0</v>
      </c>
      <c r="R23" s="723">
        <f ca="1">R20+R15+R22</f>
        <v>3972.24843200539</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8.7625055327270882</v>
      </c>
      <c r="D36" s="704">
        <f ca="1">tertiair!C20</f>
        <v>0</v>
      </c>
      <c r="E36" s="704">
        <f ca="1">tertiair!D20</f>
        <v>0</v>
      </c>
      <c r="F36" s="704">
        <f>tertiair!E20</f>
        <v>9.0173756598371985E-2</v>
      </c>
      <c r="G36" s="704">
        <f ca="1">tertiair!F20</f>
        <v>1.7303240237694164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10.583003313094876</v>
      </c>
    </row>
    <row r="37" spans="1:18">
      <c r="A37" s="873" t="s">
        <v>225</v>
      </c>
      <c r="B37" s="880"/>
      <c r="C37" s="704">
        <f ca="1">huishoudens!B12</f>
        <v>34.693861631638562</v>
      </c>
      <c r="D37" s="704">
        <f ca="1">huishoudens!C12</f>
        <v>0</v>
      </c>
      <c r="E37" s="704">
        <f>huishoudens!D12</f>
        <v>47.31109064000001</v>
      </c>
      <c r="F37" s="704">
        <f>huishoudens!E12</f>
        <v>0</v>
      </c>
      <c r="G37" s="704">
        <f>huishoudens!F12</f>
        <v>99.923632290241372</v>
      </c>
      <c r="H37" s="704">
        <f>huishoudens!G12</f>
        <v>0</v>
      </c>
      <c r="I37" s="704">
        <f>huishoudens!H12</f>
        <v>0</v>
      </c>
      <c r="J37" s="704">
        <f>huishoudens!I12</f>
        <v>0</v>
      </c>
      <c r="K37" s="704">
        <f>huishoudens!J12</f>
        <v>31.683978458751341</v>
      </c>
      <c r="L37" s="704">
        <f>huishoudens!K12</f>
        <v>0</v>
      </c>
      <c r="M37" s="704">
        <f>huishoudens!L12</f>
        <v>0</v>
      </c>
      <c r="N37" s="704">
        <f>huishoudens!M12</f>
        <v>0</v>
      </c>
      <c r="O37" s="704">
        <f>huishoudens!N12</f>
        <v>0</v>
      </c>
      <c r="P37" s="704">
        <f>huishoudens!O12</f>
        <v>0</v>
      </c>
      <c r="Q37" s="814">
        <f>huishoudens!P12</f>
        <v>0</v>
      </c>
      <c r="R37" s="905">
        <f ca="1">SUM(C37:Q37)</f>
        <v>213.61256302063128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3.1733745893394838</v>
      </c>
      <c r="D39" s="704">
        <f ca="1">industrie!C22</f>
        <v>0</v>
      </c>
      <c r="E39" s="704">
        <f>industrie!D22</f>
        <v>0</v>
      </c>
      <c r="F39" s="704">
        <f>industrie!E22</f>
        <v>0.20135622427479269</v>
      </c>
      <c r="G39" s="704">
        <f>industrie!F22</f>
        <v>0.99798352352756092</v>
      </c>
      <c r="H39" s="704">
        <f>industrie!G22</f>
        <v>0</v>
      </c>
      <c r="I39" s="704">
        <f>industrie!H22</f>
        <v>0</v>
      </c>
      <c r="J39" s="704">
        <f>industrie!I22</f>
        <v>0</v>
      </c>
      <c r="K39" s="704">
        <f>industrie!J22</f>
        <v>1.4426455761425382E-2</v>
      </c>
      <c r="L39" s="704">
        <f>industrie!K22</f>
        <v>0</v>
      </c>
      <c r="M39" s="704">
        <f>industrie!L22</f>
        <v>0</v>
      </c>
      <c r="N39" s="704">
        <f>industrie!M22</f>
        <v>0</v>
      </c>
      <c r="O39" s="704">
        <f>industrie!N22</f>
        <v>0</v>
      </c>
      <c r="P39" s="704">
        <f>industrie!O22</f>
        <v>0</v>
      </c>
      <c r="Q39" s="814">
        <f>industrie!P22</f>
        <v>0</v>
      </c>
      <c r="R39" s="906">
        <f ca="1">SUM(C39:Q39)</f>
        <v>4.3871407929032626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46.629741753705133</v>
      </c>
      <c r="D41" s="749">
        <f t="shared" ref="D41:R41" ca="1" si="4">SUM(D35:D40)</f>
        <v>0</v>
      </c>
      <c r="E41" s="749">
        <f t="shared" ca="1" si="4"/>
        <v>47.31109064000001</v>
      </c>
      <c r="F41" s="749">
        <f t="shared" si="4"/>
        <v>0.29152998087316467</v>
      </c>
      <c r="G41" s="749">
        <f t="shared" ca="1" si="4"/>
        <v>102.65193983753835</v>
      </c>
      <c r="H41" s="749">
        <f t="shared" si="4"/>
        <v>0</v>
      </c>
      <c r="I41" s="749">
        <f t="shared" si="4"/>
        <v>0</v>
      </c>
      <c r="J41" s="749">
        <f t="shared" si="4"/>
        <v>0</v>
      </c>
      <c r="K41" s="749">
        <f t="shared" si="4"/>
        <v>31.698404914512768</v>
      </c>
      <c r="L41" s="749">
        <f t="shared" si="4"/>
        <v>0</v>
      </c>
      <c r="M41" s="749">
        <f t="shared" ca="1" si="4"/>
        <v>0</v>
      </c>
      <c r="N41" s="749">
        <f t="shared" si="4"/>
        <v>0</v>
      </c>
      <c r="O41" s="749">
        <f t="shared" ca="1" si="4"/>
        <v>0</v>
      </c>
      <c r="P41" s="749">
        <f t="shared" si="4"/>
        <v>0</v>
      </c>
      <c r="Q41" s="750">
        <f t="shared" si="4"/>
        <v>0</v>
      </c>
      <c r="R41" s="751">
        <f t="shared" ca="1" si="4"/>
        <v>228.58270712662943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4.2832014672567276</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4.2832014672567276</v>
      </c>
    </row>
    <row r="45" spans="1:18" ht="15" thickBot="1">
      <c r="A45" s="876" t="s">
        <v>307</v>
      </c>
      <c r="B45" s="886"/>
      <c r="C45" s="713">
        <f ca="1">transport!B18</f>
        <v>3.8991843763735851E-2</v>
      </c>
      <c r="D45" s="713">
        <f>transport!C18</f>
        <v>0</v>
      </c>
      <c r="E45" s="713">
        <f>transport!D18</f>
        <v>6.2939231748970051E-2</v>
      </c>
      <c r="F45" s="713">
        <f>transport!E18</f>
        <v>2.1765839629311898</v>
      </c>
      <c r="G45" s="713">
        <f>transport!F18</f>
        <v>0</v>
      </c>
      <c r="H45" s="713">
        <f>transport!G18</f>
        <v>575.50412436595252</v>
      </c>
      <c r="I45" s="713">
        <f>transport!H18</f>
        <v>116.66179483224977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694.4444342366462</v>
      </c>
    </row>
    <row r="46" spans="1:18" ht="15.75" thickBot="1">
      <c r="A46" s="874" t="s">
        <v>230</v>
      </c>
      <c r="B46" s="887"/>
      <c r="C46" s="749">
        <f t="shared" ref="C46:R46" ca="1" si="5">SUM(C43:C45)</f>
        <v>3.8991843763735851E-2</v>
      </c>
      <c r="D46" s="749">
        <f t="shared" ca="1" si="5"/>
        <v>0</v>
      </c>
      <c r="E46" s="749">
        <f t="shared" si="5"/>
        <v>6.2939231748970051E-2</v>
      </c>
      <c r="F46" s="749">
        <f t="shared" si="5"/>
        <v>2.1765839629311898</v>
      </c>
      <c r="G46" s="749">
        <f t="shared" si="5"/>
        <v>0</v>
      </c>
      <c r="H46" s="749">
        <f t="shared" si="5"/>
        <v>579.78732583320925</v>
      </c>
      <c r="I46" s="749">
        <f t="shared" si="5"/>
        <v>116.66179483224977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698.72763570390293</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8.9225713453466025</v>
      </c>
      <c r="D48" s="704">
        <f ca="1">+landbouw!C12</f>
        <v>0</v>
      </c>
      <c r="E48" s="704">
        <f>+landbouw!D12</f>
        <v>9.5895787240000008</v>
      </c>
      <c r="F48" s="704">
        <f>+landbouw!E12</f>
        <v>0.12788117481959185</v>
      </c>
      <c r="G48" s="704">
        <f>+landbouw!F12</f>
        <v>41.18392217242711</v>
      </c>
      <c r="H48" s="704">
        <f>+landbouw!G12</f>
        <v>0</v>
      </c>
      <c r="I48" s="704">
        <f>+landbouw!H12</f>
        <v>0</v>
      </c>
      <c r="J48" s="704">
        <f>+landbouw!I12</f>
        <v>0</v>
      </c>
      <c r="K48" s="704">
        <f>+landbouw!J12</f>
        <v>2.3800390668453271</v>
      </c>
      <c r="L48" s="704">
        <f>+landbouw!K12</f>
        <v>0</v>
      </c>
      <c r="M48" s="704">
        <f>+landbouw!L12</f>
        <v>0</v>
      </c>
      <c r="N48" s="704">
        <f>+landbouw!M12</f>
        <v>0</v>
      </c>
      <c r="O48" s="704">
        <f>+landbouw!N12</f>
        <v>0</v>
      </c>
      <c r="P48" s="704">
        <f>+landbouw!O12</f>
        <v>0</v>
      </c>
      <c r="Q48" s="705">
        <f>+landbouw!P12</f>
        <v>0</v>
      </c>
      <c r="R48" s="747">
        <f ca="1">SUM(C48:Q48)</f>
        <v>62.203992483438633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55.591304942815476</v>
      </c>
      <c r="D53" s="759">
        <f t="shared" ref="D53:Q53" ca="1" si="6">D41+D46+D48</f>
        <v>0</v>
      </c>
      <c r="E53" s="759">
        <f t="shared" ca="1" si="6"/>
        <v>56.96360859574898</v>
      </c>
      <c r="F53" s="759">
        <f t="shared" si="6"/>
        <v>2.5959951186239465</v>
      </c>
      <c r="G53" s="759">
        <f t="shared" ca="1" si="6"/>
        <v>143.83586200996547</v>
      </c>
      <c r="H53" s="759">
        <f t="shared" si="6"/>
        <v>579.78732583320925</v>
      </c>
      <c r="I53" s="759">
        <f t="shared" si="6"/>
        <v>116.66179483224977</v>
      </c>
      <c r="J53" s="759">
        <f t="shared" si="6"/>
        <v>0</v>
      </c>
      <c r="K53" s="759">
        <f t="shared" si="6"/>
        <v>34.078443981358092</v>
      </c>
      <c r="L53" s="759">
        <f t="shared" si="6"/>
        <v>0</v>
      </c>
      <c r="M53" s="759">
        <f t="shared" ca="1" si="6"/>
        <v>0</v>
      </c>
      <c r="N53" s="759">
        <f t="shared" si="6"/>
        <v>0</v>
      </c>
      <c r="O53" s="759">
        <f t="shared" ca="1" si="6"/>
        <v>0</v>
      </c>
      <c r="P53" s="759">
        <f>P41+P46+P48</f>
        <v>0</v>
      </c>
      <c r="Q53" s="760">
        <f t="shared" si="6"/>
        <v>0</v>
      </c>
      <c r="R53" s="761">
        <f ca="1">R41+R46+R48</f>
        <v>989.51433531397095</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0.19958330750562792</v>
      </c>
      <c r="D55" s="824">
        <f t="shared" ca="1" si="7"/>
        <v>0</v>
      </c>
      <c r="E55" s="824">
        <f t="shared" ca="1" si="7"/>
        <v>0.20200000000000004</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26.992479522205311</v>
      </c>
      <c r="C66" s="781">
        <f>'lokale energieproductie'!B6</f>
        <v>26.992479522205311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26.992479522205311</v>
      </c>
      <c r="C69" s="789">
        <f>SUM(C64:C68)</f>
        <v>26.992479522205311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173.83147952220531</v>
      </c>
      <c r="C4" s="463">
        <f>huishoudens!C8</f>
        <v>0</v>
      </c>
      <c r="D4" s="463">
        <f>huishoudens!D8</f>
        <v>234.21332000000004</v>
      </c>
      <c r="E4" s="463">
        <f>huishoudens!E8</f>
        <v>0</v>
      </c>
      <c r="F4" s="463">
        <f>huishoudens!F8</f>
        <v>374.24581382112871</v>
      </c>
      <c r="G4" s="463">
        <f>huishoudens!G8</f>
        <v>0</v>
      </c>
      <c r="H4" s="463">
        <f>huishoudens!H8</f>
        <v>0</v>
      </c>
      <c r="I4" s="463">
        <f>huishoudens!I8</f>
        <v>0</v>
      </c>
      <c r="J4" s="463">
        <f>huishoudens!J8</f>
        <v>89.502764007772157</v>
      </c>
      <c r="K4" s="463">
        <f>huishoudens!K8</f>
        <v>0</v>
      </c>
      <c r="L4" s="463">
        <f>huishoudens!L8</f>
        <v>0</v>
      </c>
      <c r="M4" s="463">
        <f>huishoudens!M8</f>
        <v>0</v>
      </c>
      <c r="N4" s="463">
        <f>huishoudens!N8</f>
        <v>0</v>
      </c>
      <c r="O4" s="463">
        <f>huishoudens!O8</f>
        <v>1.5633333333333335</v>
      </c>
      <c r="P4" s="464">
        <f>huishoudens!P8</f>
        <v>0</v>
      </c>
      <c r="Q4" s="465">
        <f>SUM(B4:P4)</f>
        <v>873.35671068443969</v>
      </c>
    </row>
    <row r="5" spans="1:17">
      <c r="A5" s="462" t="s">
        <v>156</v>
      </c>
      <c r="B5" s="463">
        <f ca="1">tertiair!B16</f>
        <v>32.75</v>
      </c>
      <c r="C5" s="463">
        <f ca="1">tertiair!C16</f>
        <v>0</v>
      </c>
      <c r="D5" s="463">
        <f ca="1">tertiair!D16</f>
        <v>0</v>
      </c>
      <c r="E5" s="463">
        <f>tertiair!E16</f>
        <v>0.39724121849503075</v>
      </c>
      <c r="F5" s="463">
        <f ca="1">tertiair!F16</f>
        <v>6.4806143212337686</v>
      </c>
      <c r="G5" s="463">
        <f>tertiair!G16</f>
        <v>0</v>
      </c>
      <c r="H5" s="463">
        <f>tertiair!H16</f>
        <v>0</v>
      </c>
      <c r="I5" s="463">
        <f>tertiair!I16</f>
        <v>0</v>
      </c>
      <c r="J5" s="463">
        <f>tertiair!J16</f>
        <v>0</v>
      </c>
      <c r="K5" s="463">
        <f>tertiair!K16</f>
        <v>0</v>
      </c>
      <c r="L5" s="463">
        <f ca="1">tertiair!L16</f>
        <v>0</v>
      </c>
      <c r="M5" s="463">
        <f>tertiair!M16</f>
        <v>0</v>
      </c>
      <c r="N5" s="463">
        <f ca="1">tertiair!N16</f>
        <v>2.5997028470625438</v>
      </c>
      <c r="O5" s="463">
        <f>tertiair!O16</f>
        <v>0</v>
      </c>
      <c r="P5" s="464">
        <f>tertiair!P16</f>
        <v>0</v>
      </c>
      <c r="Q5" s="462">
        <f t="shared" ref="Q5:Q13" ca="1" si="0">SUM(B5:P5)</f>
        <v>42.227558386791344</v>
      </c>
    </row>
    <row r="6" spans="1:17">
      <c r="A6" s="462" t="s">
        <v>194</v>
      </c>
      <c r="B6" s="463">
        <f>'openbare verlichting'!B8</f>
        <v>11.154</v>
      </c>
      <c r="C6" s="463"/>
      <c r="D6" s="463"/>
      <c r="E6" s="463"/>
      <c r="F6" s="463"/>
      <c r="G6" s="463"/>
      <c r="H6" s="463"/>
      <c r="I6" s="463"/>
      <c r="J6" s="463"/>
      <c r="K6" s="463"/>
      <c r="L6" s="463"/>
      <c r="M6" s="463"/>
      <c r="N6" s="463"/>
      <c r="O6" s="463"/>
      <c r="P6" s="464"/>
      <c r="Q6" s="462">
        <f t="shared" si="0"/>
        <v>11.154</v>
      </c>
    </row>
    <row r="7" spans="1:17">
      <c r="A7" s="462" t="s">
        <v>112</v>
      </c>
      <c r="B7" s="463">
        <f>landbouw!B8</f>
        <v>44.706000000000003</v>
      </c>
      <c r="C7" s="463">
        <f>landbouw!C8</f>
        <v>0</v>
      </c>
      <c r="D7" s="463">
        <f>landbouw!D8</f>
        <v>47.473162000000002</v>
      </c>
      <c r="E7" s="463">
        <f>landbouw!E8</f>
        <v>0.56335319303784959</v>
      </c>
      <c r="F7" s="463">
        <f>landbouw!F8</f>
        <v>154.2468995221989</v>
      </c>
      <c r="G7" s="463">
        <f>landbouw!G8</f>
        <v>0</v>
      </c>
      <c r="H7" s="463">
        <f>landbouw!H8</f>
        <v>0</v>
      </c>
      <c r="I7" s="463">
        <f>landbouw!I8</f>
        <v>0</v>
      </c>
      <c r="J7" s="463">
        <f>landbouw!J8</f>
        <v>6.723274200128043</v>
      </c>
      <c r="K7" s="463">
        <f>landbouw!K8</f>
        <v>0</v>
      </c>
      <c r="L7" s="463">
        <f>landbouw!L8</f>
        <v>0</v>
      </c>
      <c r="M7" s="463">
        <f>landbouw!M8</f>
        <v>0</v>
      </c>
      <c r="N7" s="463">
        <f>landbouw!N8</f>
        <v>0</v>
      </c>
      <c r="O7" s="463">
        <f>landbouw!O8</f>
        <v>0</v>
      </c>
      <c r="P7" s="464">
        <f>landbouw!P8</f>
        <v>0</v>
      </c>
      <c r="Q7" s="462">
        <f t="shared" si="0"/>
        <v>253.71268891536479</v>
      </c>
    </row>
    <row r="8" spans="1:17">
      <c r="A8" s="462" t="s">
        <v>657</v>
      </c>
      <c r="B8" s="463">
        <f>industrie!B18</f>
        <v>15.9</v>
      </c>
      <c r="C8" s="463">
        <f>industrie!C18</f>
        <v>0</v>
      </c>
      <c r="D8" s="463">
        <f>industrie!D18</f>
        <v>0</v>
      </c>
      <c r="E8" s="463">
        <f>industrie!E18</f>
        <v>0.88703182499908673</v>
      </c>
      <c r="F8" s="463">
        <f>industrie!F18</f>
        <v>3.7377660057212019</v>
      </c>
      <c r="G8" s="463">
        <f>industrie!G18</f>
        <v>0</v>
      </c>
      <c r="H8" s="463">
        <f>industrie!H18</f>
        <v>0</v>
      </c>
      <c r="I8" s="463">
        <f>industrie!I18</f>
        <v>0</v>
      </c>
      <c r="J8" s="463">
        <f>industrie!J18</f>
        <v>4.0752699891032154E-2</v>
      </c>
      <c r="K8" s="463">
        <f>industrie!K18</f>
        <v>0</v>
      </c>
      <c r="L8" s="463">
        <f>industrie!L18</f>
        <v>0</v>
      </c>
      <c r="M8" s="463">
        <f>industrie!M18</f>
        <v>0</v>
      </c>
      <c r="N8" s="463">
        <f>industrie!N18</f>
        <v>3.1204247218211418</v>
      </c>
      <c r="O8" s="463">
        <f>industrie!O18</f>
        <v>0</v>
      </c>
      <c r="P8" s="464">
        <f>industrie!P18</f>
        <v>0</v>
      </c>
      <c r="Q8" s="462">
        <f t="shared" si="0"/>
        <v>23.685975252432463</v>
      </c>
    </row>
    <row r="9" spans="1:17" s="468" customFormat="1">
      <c r="A9" s="466" t="s">
        <v>574</v>
      </c>
      <c r="B9" s="467">
        <f>transport!B14</f>
        <v>0.19536625708358074</v>
      </c>
      <c r="C9" s="467">
        <f>transport!C14</f>
        <v>0</v>
      </c>
      <c r="D9" s="467">
        <f>transport!D14</f>
        <v>0.31158035519292104</v>
      </c>
      <c r="E9" s="467">
        <f>transport!E14</f>
        <v>9.5884756076263873</v>
      </c>
      <c r="F9" s="467">
        <f>transport!F14</f>
        <v>0</v>
      </c>
      <c r="G9" s="467">
        <f>transport!G14</f>
        <v>2155.4461586739794</v>
      </c>
      <c r="H9" s="467">
        <f>transport!H14</f>
        <v>468.52126438654528</v>
      </c>
      <c r="I9" s="467">
        <f>transport!I14</f>
        <v>0</v>
      </c>
      <c r="J9" s="467">
        <f>transport!J14</f>
        <v>0</v>
      </c>
      <c r="K9" s="467">
        <f>transport!K14</f>
        <v>0</v>
      </c>
      <c r="L9" s="467">
        <f>transport!L14</f>
        <v>0</v>
      </c>
      <c r="M9" s="467">
        <f>transport!M14</f>
        <v>117.29327553515455</v>
      </c>
      <c r="N9" s="467">
        <f>transport!N14</f>
        <v>0</v>
      </c>
      <c r="O9" s="467">
        <f>transport!O14</f>
        <v>0</v>
      </c>
      <c r="P9" s="467">
        <f>transport!P14</f>
        <v>0</v>
      </c>
      <c r="Q9" s="466">
        <f>SUM(B9:P9)</f>
        <v>2751.356120815582</v>
      </c>
    </row>
    <row r="10" spans="1:17">
      <c r="A10" s="462" t="s">
        <v>564</v>
      </c>
      <c r="B10" s="463">
        <f>transport!B54</f>
        <v>0</v>
      </c>
      <c r="C10" s="463">
        <f>transport!C54</f>
        <v>0</v>
      </c>
      <c r="D10" s="463">
        <f>transport!D54</f>
        <v>0</v>
      </c>
      <c r="E10" s="463">
        <f>transport!E54</f>
        <v>0</v>
      </c>
      <c r="F10" s="463">
        <f>transport!F54</f>
        <v>0</v>
      </c>
      <c r="G10" s="463">
        <f>transport!G54</f>
        <v>16.04195306088662</v>
      </c>
      <c r="H10" s="463">
        <f>transport!H54</f>
        <v>0</v>
      </c>
      <c r="I10" s="463">
        <f>transport!I54</f>
        <v>0</v>
      </c>
      <c r="J10" s="463">
        <f>transport!J54</f>
        <v>0</v>
      </c>
      <c r="K10" s="463">
        <f>transport!K54</f>
        <v>0</v>
      </c>
      <c r="L10" s="463">
        <f>transport!L54</f>
        <v>0</v>
      </c>
      <c r="M10" s="463">
        <f>transport!M54</f>
        <v>0.71342488989336084</v>
      </c>
      <c r="N10" s="463">
        <f>transport!N54</f>
        <v>0</v>
      </c>
      <c r="O10" s="463">
        <f>transport!O54</f>
        <v>0</v>
      </c>
      <c r="P10" s="464">
        <f>transport!P54</f>
        <v>0</v>
      </c>
      <c r="Q10" s="462">
        <f t="shared" si="0"/>
        <v>16.75537795077998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278.53684577928891</v>
      </c>
      <c r="C14" s="473">
        <f t="shared" ref="C14:Q14" ca="1" si="1">SUM(C4:C13)</f>
        <v>0</v>
      </c>
      <c r="D14" s="473">
        <f t="shared" ca="1" si="1"/>
        <v>281.99806235519299</v>
      </c>
      <c r="E14" s="473">
        <f t="shared" si="1"/>
        <v>11.436101844158355</v>
      </c>
      <c r="F14" s="473">
        <f t="shared" ca="1" si="1"/>
        <v>538.71109367028259</v>
      </c>
      <c r="G14" s="473">
        <f t="shared" si="1"/>
        <v>2171.4881117348659</v>
      </c>
      <c r="H14" s="473">
        <f t="shared" si="1"/>
        <v>468.52126438654528</v>
      </c>
      <c r="I14" s="473">
        <f t="shared" si="1"/>
        <v>0</v>
      </c>
      <c r="J14" s="473">
        <f t="shared" si="1"/>
        <v>96.266790907791233</v>
      </c>
      <c r="K14" s="473">
        <f t="shared" si="1"/>
        <v>0</v>
      </c>
      <c r="L14" s="473">
        <f t="shared" ca="1" si="1"/>
        <v>0</v>
      </c>
      <c r="M14" s="473">
        <f t="shared" si="1"/>
        <v>118.00670042504791</v>
      </c>
      <c r="N14" s="473">
        <f t="shared" ca="1" si="1"/>
        <v>5.7201275688836857</v>
      </c>
      <c r="O14" s="473">
        <f t="shared" si="1"/>
        <v>1.5633333333333335</v>
      </c>
      <c r="P14" s="474">
        <f t="shared" si="1"/>
        <v>0</v>
      </c>
      <c r="Q14" s="474">
        <f t="shared" ca="1" si="1"/>
        <v>3972.24843200539</v>
      </c>
    </row>
    <row r="16" spans="1:17">
      <c r="A16" s="476" t="s">
        <v>569</v>
      </c>
      <c r="B16" s="829">
        <f ca="1">huishoudens!B10</f>
        <v>0.19958330750562792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34.693861631638562</v>
      </c>
      <c r="C21" s="463">
        <f t="shared" ref="C21:C30" ca="1" si="3">C4*$C$16</f>
        <v>0</v>
      </c>
      <c r="D21" s="463">
        <f t="shared" ref="D21:D30" si="4">D4*$D$16</f>
        <v>47.31109064000001</v>
      </c>
      <c r="E21" s="463">
        <f t="shared" ref="E21:E30" si="5">E4*$E$16</f>
        <v>0</v>
      </c>
      <c r="F21" s="463">
        <f t="shared" ref="F21:F30" si="6">F4*$F$16</f>
        <v>99.923632290241372</v>
      </c>
      <c r="G21" s="463">
        <f t="shared" ref="G21:G30" si="7">G4*$G$16</f>
        <v>0</v>
      </c>
      <c r="H21" s="463">
        <f t="shared" ref="H21:H30" si="8">H4*$H$16</f>
        <v>0</v>
      </c>
      <c r="I21" s="463">
        <f t="shared" ref="I21:I30" si="9">I4*$I$16</f>
        <v>0</v>
      </c>
      <c r="J21" s="463">
        <f t="shared" ref="J21:J30" si="10">J4*$J$16</f>
        <v>31.683978458751341</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213.61256302063128</v>
      </c>
    </row>
    <row r="22" spans="1:17">
      <c r="A22" s="462" t="s">
        <v>156</v>
      </c>
      <c r="B22" s="463">
        <f t="shared" ca="1" si="2"/>
        <v>6.5363533208093143</v>
      </c>
      <c r="C22" s="463">
        <f t="shared" ca="1" si="3"/>
        <v>0</v>
      </c>
      <c r="D22" s="463">
        <f t="shared" ca="1" si="4"/>
        <v>0</v>
      </c>
      <c r="E22" s="463">
        <f t="shared" si="5"/>
        <v>9.0173756598371985E-2</v>
      </c>
      <c r="F22" s="463">
        <f t="shared" ca="1" si="6"/>
        <v>1.7303240237694164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8.3568511011771029</v>
      </c>
    </row>
    <row r="23" spans="1:17">
      <c r="A23" s="462" t="s">
        <v>194</v>
      </c>
      <c r="B23" s="463">
        <f t="shared" ca="1" si="2"/>
        <v>2.2261522119177739</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2.2261522119177739</v>
      </c>
    </row>
    <row r="24" spans="1:17">
      <c r="A24" s="462" t="s">
        <v>112</v>
      </c>
      <c r="B24" s="463">
        <f t="shared" ca="1" si="2"/>
        <v>8.9225713453466025</v>
      </c>
      <c r="C24" s="463">
        <f t="shared" ca="1" si="3"/>
        <v>0</v>
      </c>
      <c r="D24" s="463">
        <f t="shared" si="4"/>
        <v>9.5895787240000008</v>
      </c>
      <c r="E24" s="463">
        <f t="shared" si="5"/>
        <v>0.12788117481959185</v>
      </c>
      <c r="F24" s="463">
        <f t="shared" si="6"/>
        <v>41.18392217242711</v>
      </c>
      <c r="G24" s="463">
        <f t="shared" si="7"/>
        <v>0</v>
      </c>
      <c r="H24" s="463">
        <f t="shared" si="8"/>
        <v>0</v>
      </c>
      <c r="I24" s="463">
        <f t="shared" si="9"/>
        <v>0</v>
      </c>
      <c r="J24" s="463">
        <f t="shared" si="10"/>
        <v>2.3800390668453271</v>
      </c>
      <c r="K24" s="463">
        <f t="shared" si="11"/>
        <v>0</v>
      </c>
      <c r="L24" s="463">
        <f t="shared" si="12"/>
        <v>0</v>
      </c>
      <c r="M24" s="463">
        <f t="shared" si="13"/>
        <v>0</v>
      </c>
      <c r="N24" s="463">
        <f t="shared" si="14"/>
        <v>0</v>
      </c>
      <c r="O24" s="463">
        <f t="shared" si="15"/>
        <v>0</v>
      </c>
      <c r="P24" s="464">
        <f t="shared" si="16"/>
        <v>0</v>
      </c>
      <c r="Q24" s="462">
        <f t="shared" ca="1" si="17"/>
        <v>62.203992483438633</v>
      </c>
    </row>
    <row r="25" spans="1:17">
      <c r="A25" s="462" t="s">
        <v>657</v>
      </c>
      <c r="B25" s="463">
        <f t="shared" ca="1" si="2"/>
        <v>3.1733745893394838</v>
      </c>
      <c r="C25" s="463">
        <f t="shared" ca="1" si="3"/>
        <v>0</v>
      </c>
      <c r="D25" s="463">
        <f t="shared" si="4"/>
        <v>0</v>
      </c>
      <c r="E25" s="463">
        <f t="shared" si="5"/>
        <v>0.20135622427479269</v>
      </c>
      <c r="F25" s="463">
        <f t="shared" si="6"/>
        <v>0.99798352352756092</v>
      </c>
      <c r="G25" s="463">
        <f t="shared" si="7"/>
        <v>0</v>
      </c>
      <c r="H25" s="463">
        <f t="shared" si="8"/>
        <v>0</v>
      </c>
      <c r="I25" s="463">
        <f t="shared" si="9"/>
        <v>0</v>
      </c>
      <c r="J25" s="463">
        <f t="shared" si="10"/>
        <v>1.4426455761425382E-2</v>
      </c>
      <c r="K25" s="463">
        <f t="shared" si="11"/>
        <v>0</v>
      </c>
      <c r="L25" s="463">
        <f t="shared" si="12"/>
        <v>0</v>
      </c>
      <c r="M25" s="463">
        <f t="shared" si="13"/>
        <v>0</v>
      </c>
      <c r="N25" s="463">
        <f t="shared" si="14"/>
        <v>0</v>
      </c>
      <c r="O25" s="463">
        <f t="shared" si="15"/>
        <v>0</v>
      </c>
      <c r="P25" s="464">
        <f t="shared" si="16"/>
        <v>0</v>
      </c>
      <c r="Q25" s="462">
        <f t="shared" ca="1" si="17"/>
        <v>4.3871407929032626</v>
      </c>
    </row>
    <row r="26" spans="1:17" s="468" customFormat="1">
      <c r="A26" s="466" t="s">
        <v>574</v>
      </c>
      <c r="B26" s="823">
        <f t="shared" ca="1" si="2"/>
        <v>3.8991843763735851E-2</v>
      </c>
      <c r="C26" s="467">
        <f t="shared" ca="1" si="3"/>
        <v>0</v>
      </c>
      <c r="D26" s="467">
        <f t="shared" si="4"/>
        <v>6.2939231748970051E-2</v>
      </c>
      <c r="E26" s="467">
        <f t="shared" si="5"/>
        <v>2.1765839629311898</v>
      </c>
      <c r="F26" s="467">
        <f t="shared" si="6"/>
        <v>0</v>
      </c>
      <c r="G26" s="467">
        <f t="shared" si="7"/>
        <v>575.50412436595252</v>
      </c>
      <c r="H26" s="467">
        <f t="shared" si="8"/>
        <v>116.66179483224977</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694.4444342366462</v>
      </c>
    </row>
    <row r="27" spans="1:17">
      <c r="A27" s="462" t="s">
        <v>564</v>
      </c>
      <c r="B27" s="463">
        <f t="shared" ca="1" si="2"/>
        <v>0</v>
      </c>
      <c r="C27" s="463">
        <f t="shared" ca="1" si="3"/>
        <v>0</v>
      </c>
      <c r="D27" s="463">
        <f t="shared" si="4"/>
        <v>0</v>
      </c>
      <c r="E27" s="463">
        <f t="shared" si="5"/>
        <v>0</v>
      </c>
      <c r="F27" s="463">
        <f t="shared" si="6"/>
        <v>0</v>
      </c>
      <c r="G27" s="463">
        <f t="shared" si="7"/>
        <v>4.2832014672567276</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4.2832014672567276</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55.591304942815469</v>
      </c>
      <c r="C31" s="473">
        <f t="shared" ca="1" si="18"/>
        <v>0</v>
      </c>
      <c r="D31" s="473">
        <f t="shared" ca="1" si="18"/>
        <v>56.96360859574898</v>
      </c>
      <c r="E31" s="473">
        <f t="shared" si="18"/>
        <v>2.5959951186239465</v>
      </c>
      <c r="F31" s="473">
        <f t="shared" ca="1" si="18"/>
        <v>143.83586200996544</v>
      </c>
      <c r="G31" s="473">
        <f t="shared" si="18"/>
        <v>579.78732583320925</v>
      </c>
      <c r="H31" s="473">
        <f t="shared" si="18"/>
        <v>116.66179483224977</v>
      </c>
      <c r="I31" s="473">
        <f t="shared" si="18"/>
        <v>0</v>
      </c>
      <c r="J31" s="473">
        <f t="shared" si="18"/>
        <v>34.078443981358092</v>
      </c>
      <c r="K31" s="473">
        <f t="shared" si="18"/>
        <v>0</v>
      </c>
      <c r="L31" s="473">
        <f t="shared" ca="1" si="18"/>
        <v>0</v>
      </c>
      <c r="M31" s="473">
        <f t="shared" si="18"/>
        <v>0</v>
      </c>
      <c r="N31" s="473">
        <f t="shared" ca="1" si="18"/>
        <v>0</v>
      </c>
      <c r="O31" s="473">
        <f t="shared" si="18"/>
        <v>0</v>
      </c>
      <c r="P31" s="474">
        <f t="shared" si="18"/>
        <v>0</v>
      </c>
      <c r="Q31" s="474">
        <f t="shared" ca="1" si="18"/>
        <v>989.51433531397106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0.19958330750562792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0.19958330750562792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0.19958330750562792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73028</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34</v>
      </c>
      <c r="C9" s="338">
        <v>34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116</v>
      </c>
    </row>
    <row r="15" spans="1:6">
      <c r="A15" s="1212" t="s">
        <v>184</v>
      </c>
      <c r="B15" s="335">
        <v>0</v>
      </c>
    </row>
    <row r="16" spans="1:6">
      <c r="A16" s="1212" t="s">
        <v>6</v>
      </c>
      <c r="B16" s="335">
        <v>0</v>
      </c>
    </row>
    <row r="17" spans="1:6">
      <c r="A17" s="1212" t="s">
        <v>7</v>
      </c>
      <c r="B17" s="335">
        <v>10</v>
      </c>
    </row>
    <row r="18" spans="1:6">
      <c r="A18" s="1212" t="s">
        <v>8</v>
      </c>
      <c r="B18" s="335">
        <v>9</v>
      </c>
    </row>
    <row r="19" spans="1:6">
      <c r="A19" s="1212" t="s">
        <v>9</v>
      </c>
      <c r="B19" s="335">
        <v>12</v>
      </c>
    </row>
    <row r="20" spans="1:6">
      <c r="A20" s="1212" t="s">
        <v>10</v>
      </c>
      <c r="B20" s="335">
        <v>2</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1</v>
      </c>
    </row>
    <row r="28" spans="1:6" s="341" customFormat="1">
      <c r="A28" s="1213" t="s">
        <v>18</v>
      </c>
      <c r="B28" s="1213">
        <v>0</v>
      </c>
    </row>
    <row r="29" spans="1:6">
      <c r="A29" s="1213" t="s">
        <v>836</v>
      </c>
      <c r="B29" s="1213">
        <v>12</v>
      </c>
      <c r="C29" s="341"/>
      <c r="D29" s="341"/>
      <c r="E29" s="341"/>
      <c r="F29" s="341"/>
    </row>
    <row r="30" spans="1:6">
      <c r="A30" s="1208" t="s">
        <v>837</v>
      </c>
      <c r="B30" s="1208">
        <v>0</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0</v>
      </c>
      <c r="F36" s="335">
        <v>0</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12</v>
      </c>
      <c r="D39" s="335">
        <v>259660</v>
      </c>
      <c r="E39" s="335">
        <v>30</v>
      </c>
      <c r="F39" s="335">
        <v>146839</v>
      </c>
    </row>
    <row r="40" spans="1:6">
      <c r="A40" s="1212" t="s">
        <v>30</v>
      </c>
      <c r="B40" s="1212" t="s">
        <v>29</v>
      </c>
      <c r="C40" s="335">
        <v>0</v>
      </c>
      <c r="D40" s="335">
        <v>0</v>
      </c>
      <c r="E40" s="335">
        <v>0</v>
      </c>
      <c r="F40" s="335">
        <v>0</v>
      </c>
    </row>
    <row r="41" spans="1:6">
      <c r="A41" s="1212" t="s">
        <v>32</v>
      </c>
      <c r="B41" s="1212" t="s">
        <v>33</v>
      </c>
      <c r="C41" s="335">
        <v>0</v>
      </c>
      <c r="D41" s="335">
        <v>0</v>
      </c>
      <c r="E41" s="335">
        <v>0</v>
      </c>
      <c r="F41" s="335">
        <v>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0</v>
      </c>
      <c r="F44" s="335">
        <v>0</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0</v>
      </c>
      <c r="D48" s="335">
        <v>0</v>
      </c>
      <c r="E48" s="335">
        <v>1</v>
      </c>
      <c r="F48" s="335">
        <v>15900</v>
      </c>
    </row>
    <row r="49" spans="1:6">
      <c r="A49" s="1212" t="s">
        <v>32</v>
      </c>
      <c r="B49" s="1212" t="s">
        <v>40</v>
      </c>
      <c r="C49" s="335">
        <v>0</v>
      </c>
      <c r="D49" s="335">
        <v>0</v>
      </c>
      <c r="E49" s="335">
        <v>0</v>
      </c>
      <c r="F49" s="335">
        <v>0</v>
      </c>
    </row>
    <row r="50" spans="1:6">
      <c r="A50" s="1212" t="s">
        <v>32</v>
      </c>
      <c r="B50" s="1212" t="s">
        <v>41</v>
      </c>
      <c r="C50" s="335">
        <v>0</v>
      </c>
      <c r="D50" s="335">
        <v>0</v>
      </c>
      <c r="E50" s="335">
        <v>0</v>
      </c>
      <c r="F50" s="335">
        <v>0</v>
      </c>
    </row>
    <row r="51" spans="1:6">
      <c r="A51" s="1212" t="s">
        <v>42</v>
      </c>
      <c r="B51" s="1212" t="s">
        <v>43</v>
      </c>
      <c r="C51" s="335">
        <v>0</v>
      </c>
      <c r="D51" s="335">
        <v>0</v>
      </c>
      <c r="E51" s="335">
        <v>6</v>
      </c>
      <c r="F51" s="335">
        <v>44706</v>
      </c>
    </row>
    <row r="52" spans="1:6">
      <c r="A52" s="1212" t="s">
        <v>42</v>
      </c>
      <c r="B52" s="1212" t="s">
        <v>29</v>
      </c>
      <c r="C52" s="335">
        <v>2</v>
      </c>
      <c r="D52" s="335">
        <v>52631</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1</v>
      </c>
      <c r="F55" s="335">
        <v>11154</v>
      </c>
    </row>
    <row r="56" spans="1:6">
      <c r="A56" s="1212" t="s">
        <v>48</v>
      </c>
      <c r="B56" s="1212" t="s">
        <v>29</v>
      </c>
      <c r="C56" s="335">
        <v>5</v>
      </c>
      <c r="D56" s="335">
        <v>160231</v>
      </c>
      <c r="E56" s="335">
        <v>0</v>
      </c>
      <c r="F56" s="335">
        <v>0</v>
      </c>
    </row>
    <row r="57" spans="1:6">
      <c r="A57" s="1212" t="s">
        <v>49</v>
      </c>
      <c r="B57" s="1212" t="s">
        <v>50</v>
      </c>
      <c r="C57" s="335">
        <v>0</v>
      </c>
      <c r="D57" s="335">
        <v>0</v>
      </c>
      <c r="E57" s="335">
        <v>0</v>
      </c>
      <c r="F57" s="335">
        <v>0</v>
      </c>
    </row>
    <row r="58" spans="1:6">
      <c r="A58" s="1212" t="s">
        <v>49</v>
      </c>
      <c r="B58" s="1212" t="s">
        <v>51</v>
      </c>
      <c r="C58" s="335">
        <v>0</v>
      </c>
      <c r="D58" s="335">
        <v>0</v>
      </c>
      <c r="E58" s="335">
        <v>0</v>
      </c>
      <c r="F58" s="335">
        <v>0</v>
      </c>
    </row>
    <row r="59" spans="1:6">
      <c r="A59" s="1212" t="s">
        <v>49</v>
      </c>
      <c r="B59" s="1212" t="s">
        <v>52</v>
      </c>
      <c r="C59" s="335">
        <v>0</v>
      </c>
      <c r="D59" s="335">
        <v>0</v>
      </c>
      <c r="E59" s="335">
        <v>0</v>
      </c>
      <c r="F59" s="335">
        <v>0</v>
      </c>
    </row>
    <row r="60" spans="1:6">
      <c r="A60" s="1212" t="s">
        <v>49</v>
      </c>
      <c r="B60" s="1212" t="s">
        <v>53</v>
      </c>
      <c r="C60" s="335">
        <v>0</v>
      </c>
      <c r="D60" s="335">
        <v>0</v>
      </c>
      <c r="E60" s="335">
        <v>0</v>
      </c>
      <c r="F60" s="335">
        <v>0</v>
      </c>
    </row>
    <row r="61" spans="1:6">
      <c r="A61" s="1212" t="s">
        <v>49</v>
      </c>
      <c r="B61" s="1212" t="s">
        <v>54</v>
      </c>
      <c r="C61" s="335">
        <v>0</v>
      </c>
      <c r="D61" s="335">
        <v>0</v>
      </c>
      <c r="E61" s="335">
        <v>0</v>
      </c>
      <c r="F61" s="335">
        <v>0</v>
      </c>
    </row>
    <row r="62" spans="1:6">
      <c r="A62" s="1212" t="s">
        <v>49</v>
      </c>
      <c r="B62" s="1212" t="s">
        <v>55</v>
      </c>
      <c r="C62" s="335">
        <v>0</v>
      </c>
      <c r="D62" s="335">
        <v>0</v>
      </c>
      <c r="E62" s="335">
        <v>0</v>
      </c>
      <c r="F62" s="335">
        <v>0</v>
      </c>
    </row>
    <row r="63" spans="1:6">
      <c r="A63" s="1212" t="s">
        <v>49</v>
      </c>
      <c r="B63" s="1212" t="s">
        <v>29</v>
      </c>
      <c r="C63" s="335">
        <v>0</v>
      </c>
      <c r="D63" s="335">
        <v>0</v>
      </c>
      <c r="E63" s="335">
        <v>4</v>
      </c>
      <c r="F63" s="335">
        <v>32750</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0</v>
      </c>
      <c r="F68" s="335">
        <v>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3000336</v>
      </c>
      <c r="E73" s="335">
        <v>3131831.7077630996</v>
      </c>
    </row>
    <row r="74" spans="1:6">
      <c r="A74" s="1212" t="s">
        <v>64</v>
      </c>
      <c r="B74" s="1212" t="s">
        <v>727</v>
      </c>
      <c r="C74" s="1212" t="s">
        <v>728</v>
      </c>
      <c r="D74" s="335">
        <v>166986.71447564434</v>
      </c>
      <c r="E74" s="335">
        <v>178508.64880544622</v>
      </c>
    </row>
    <row r="75" spans="1:6">
      <c r="A75" s="1212" t="s">
        <v>65</v>
      </c>
      <c r="B75" s="1212" t="s">
        <v>725</v>
      </c>
      <c r="C75" s="1212" t="s">
        <v>729</v>
      </c>
      <c r="D75" s="335">
        <v>577542</v>
      </c>
      <c r="E75" s="335">
        <v>602854.802153436</v>
      </c>
    </row>
    <row r="76" spans="1:6">
      <c r="A76" s="1212" t="s">
        <v>65</v>
      </c>
      <c r="B76" s="1212" t="s">
        <v>727</v>
      </c>
      <c r="C76" s="1212" t="s">
        <v>730</v>
      </c>
      <c r="D76" s="335">
        <v>5317.714475644334</v>
      </c>
      <c r="E76" s="335">
        <v>5847.0225592570805</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4426.571048711332</v>
      </c>
      <c r="C83" s="335">
        <v>4250.1111920787007</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26.992479522205311</v>
      </c>
    </row>
    <row r="92" spans="1:6">
      <c r="A92" s="1208" t="s">
        <v>69</v>
      </c>
      <c r="B92" s="338">
        <v>0</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v>
      </c>
    </row>
    <row r="98" spans="1:6">
      <c r="A98" s="1212" t="s">
        <v>72</v>
      </c>
      <c r="B98" s="335">
        <v>1</v>
      </c>
    </row>
    <row r="99" spans="1:6">
      <c r="A99" s="1212" t="s">
        <v>73</v>
      </c>
      <c r="B99" s="335">
        <v>0</v>
      </c>
    </row>
    <row r="100" spans="1:6">
      <c r="A100" s="1212" t="s">
        <v>74</v>
      </c>
      <c r="B100" s="335">
        <v>3</v>
      </c>
    </row>
    <row r="101" spans="1:6">
      <c r="A101" s="1212" t="s">
        <v>75</v>
      </c>
      <c r="B101" s="335">
        <v>0</v>
      </c>
    </row>
    <row r="102" spans="1:6">
      <c r="A102" s="1212" t="s">
        <v>76</v>
      </c>
      <c r="B102" s="335">
        <v>1</v>
      </c>
    </row>
    <row r="103" spans="1:6">
      <c r="A103" s="1212" t="s">
        <v>77</v>
      </c>
      <c r="B103" s="335">
        <v>3</v>
      </c>
    </row>
    <row r="104" spans="1:6">
      <c r="A104" s="1212" t="s">
        <v>78</v>
      </c>
      <c r="B104" s="335">
        <v>22</v>
      </c>
    </row>
    <row r="105" spans="1:6">
      <c r="A105" s="1208" t="s">
        <v>79</v>
      </c>
      <c r="B105" s="1208">
        <v>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0</v>
      </c>
      <c r="C123" s="335">
        <v>0</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v>
      </c>
    </row>
    <row r="130" spans="1:6">
      <c r="A130" s="1212" t="s">
        <v>295</v>
      </c>
      <c r="B130" s="335">
        <v>0</v>
      </c>
    </row>
    <row r="131" spans="1:6">
      <c r="A131" s="1212" t="s">
        <v>296</v>
      </c>
      <c r="B131" s="335">
        <v>0</v>
      </c>
    </row>
    <row r="132" spans="1:6">
      <c r="A132" s="1208" t="s">
        <v>297</v>
      </c>
      <c r="B132" s="338">
        <v>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278.53684577928891</v>
      </c>
      <c r="C3" s="43" t="s">
        <v>170</v>
      </c>
      <c r="D3" s="43"/>
      <c r="E3" s="156"/>
      <c r="F3" s="43"/>
      <c r="G3" s="43"/>
      <c r="H3" s="43"/>
      <c r="I3" s="43"/>
      <c r="J3" s="43"/>
      <c r="K3" s="96"/>
    </row>
    <row r="4" spans="1:11">
      <c r="A4" s="366" t="s">
        <v>171</v>
      </c>
      <c r="B4" s="49">
        <f>IF(ISERROR('SEAP template'!B69),0,'SEAP template'!B69)</f>
        <v>26.992479522205311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0.19958330750562792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11.154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11.154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0.19958330750562792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2.2261522119177739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146.839</v>
      </c>
      <c r="C5" s="17">
        <f>IF(ISERROR('Eigen informatie GS &amp; warmtenet'!B57),0,'Eigen informatie GS &amp; warmtenet'!B57)</f>
        <v>0</v>
      </c>
      <c r="D5" s="30">
        <f>(SUM(HH_hh_gas_kWh,HH_rest_gas_kWh)/1000)*0.902</f>
        <v>234.21332000000004</v>
      </c>
      <c r="E5" s="17">
        <f>B46*B57</f>
        <v>0</v>
      </c>
      <c r="F5" s="17">
        <f>B51*B62</f>
        <v>374.24581382112871</v>
      </c>
      <c r="G5" s="18"/>
      <c r="H5" s="17"/>
      <c r="I5" s="17"/>
      <c r="J5" s="17">
        <f>B50*B61+C50*C61</f>
        <v>89.502764007772157</v>
      </c>
      <c r="K5" s="17"/>
      <c r="L5" s="17"/>
      <c r="M5" s="17"/>
      <c r="N5" s="17">
        <f>B48*B59+C48*C59</f>
        <v>0</v>
      </c>
      <c r="O5" s="17">
        <f>B69*B70*B71</f>
        <v>1.5633333333333335</v>
      </c>
      <c r="P5" s="17">
        <f>B77*B78*B79/1000-B77*B78*B79/1000/B80</f>
        <v>0</v>
      </c>
    </row>
    <row r="6" spans="1:16">
      <c r="A6" s="16" t="s">
        <v>634</v>
      </c>
      <c r="B6" s="831">
        <f>kWh_PV_kleiner_dan_10kW</f>
        <v>26.992479522205311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173.83147952220531</v>
      </c>
      <c r="C8" s="21">
        <f>C5</f>
        <v>0</v>
      </c>
      <c r="D8" s="21">
        <f>D5</f>
        <v>234.21332000000004</v>
      </c>
      <c r="E8" s="21">
        <f>E5</f>
        <v>0</v>
      </c>
      <c r="F8" s="21">
        <f>F5</f>
        <v>374.24581382112871</v>
      </c>
      <c r="G8" s="21"/>
      <c r="H8" s="21"/>
      <c r="I8" s="21"/>
      <c r="J8" s="21">
        <f>J5</f>
        <v>89.502764007772157</v>
      </c>
      <c r="K8" s="21"/>
      <c r="L8" s="21">
        <f>L5</f>
        <v>0</v>
      </c>
      <c r="M8" s="21">
        <f>M5</f>
        <v>0</v>
      </c>
      <c r="N8" s="21">
        <f>N5</f>
        <v>0</v>
      </c>
      <c r="O8" s="21">
        <f>O5</f>
        <v>1.5633333333333335</v>
      </c>
      <c r="P8" s="21">
        <f>P5</f>
        <v>0</v>
      </c>
    </row>
    <row r="9" spans="1:16">
      <c r="B9" s="19"/>
      <c r="C9" s="19"/>
      <c r="D9" s="261"/>
      <c r="E9" s="19"/>
      <c r="F9" s="19"/>
      <c r="G9" s="19"/>
      <c r="H9" s="19"/>
      <c r="I9" s="19"/>
      <c r="J9" s="19"/>
      <c r="K9" s="19"/>
      <c r="L9" s="19"/>
      <c r="M9" s="19"/>
      <c r="N9" s="19"/>
      <c r="O9" s="19"/>
      <c r="P9" s="19"/>
    </row>
    <row r="10" spans="1:16">
      <c r="A10" s="24" t="s">
        <v>214</v>
      </c>
      <c r="B10" s="25">
        <f ca="1">'EF ele_warmte'!B12</f>
        <v>0.19958330750562792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34.693861631638562</v>
      </c>
      <c r="C12" s="23">
        <f ca="1">C10*C8</f>
        <v>0</v>
      </c>
      <c r="D12" s="23">
        <f>D8*D10</f>
        <v>47.31109064000001</v>
      </c>
      <c r="E12" s="23">
        <f>E10*E8</f>
        <v>0</v>
      </c>
      <c r="F12" s="23">
        <f>F10*F8</f>
        <v>99.923632290241372</v>
      </c>
      <c r="G12" s="23"/>
      <c r="H12" s="23"/>
      <c r="I12" s="23"/>
      <c r="J12" s="23">
        <f>J10*J8</f>
        <v>31.683978458751341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v>
      </c>
      <c r="C18" s="168" t="s">
        <v>111</v>
      </c>
      <c r="D18" s="230"/>
      <c r="E18" s="15"/>
    </row>
    <row r="19" spans="1:7">
      <c r="A19" s="173" t="s">
        <v>72</v>
      </c>
      <c r="B19" s="37">
        <f>aantalw2001_ander</f>
        <v>1</v>
      </c>
      <c r="C19" s="168" t="s">
        <v>111</v>
      </c>
      <c r="D19" s="231"/>
      <c r="E19" s="15"/>
    </row>
    <row r="20" spans="1:7">
      <c r="A20" s="173" t="s">
        <v>73</v>
      </c>
      <c r="B20" s="37">
        <f>aantalw2001_propaan</f>
        <v>0</v>
      </c>
      <c r="C20" s="169">
        <f>IF(ISERROR(B20/SUM($B$20,$B$21,$B$22)*100),0,B20/SUM($B$20,$B$21,$B$22)*100)</f>
        <v>0</v>
      </c>
      <c r="D20" s="231"/>
      <c r="E20" s="15"/>
    </row>
    <row r="21" spans="1:7">
      <c r="A21" s="173" t="s">
        <v>74</v>
      </c>
      <c r="B21" s="37">
        <f>aantalw2001_elektriciteit</f>
        <v>3</v>
      </c>
      <c r="C21" s="169">
        <f>IF(ISERROR(B21/SUM($B$20,$B$21,$B$22)*100),0,B21/SUM($B$20,$B$21,$B$22)*100)</f>
        <v>100</v>
      </c>
      <c r="D21" s="231"/>
      <c r="E21" s="15"/>
    </row>
    <row r="22" spans="1:7">
      <c r="A22" s="173" t="s">
        <v>75</v>
      </c>
      <c r="B22" s="37">
        <f>aantalw2001_hout</f>
        <v>0</v>
      </c>
      <c r="C22" s="169">
        <f>IF(ISERROR(B22/SUM($B$20,$B$21,$B$22)*100),0,B22/SUM($B$20,$B$21,$B$22)*100)</f>
        <v>0</v>
      </c>
      <c r="D22" s="231"/>
      <c r="E22" s="15"/>
    </row>
    <row r="23" spans="1:7">
      <c r="A23" s="173" t="s">
        <v>76</v>
      </c>
      <c r="B23" s="37">
        <f>aantalw2001_niet_gespec</f>
        <v>1</v>
      </c>
      <c r="C23" s="168" t="s">
        <v>111</v>
      </c>
      <c r="D23" s="230"/>
      <c r="E23" s="15"/>
    </row>
    <row r="24" spans="1:7">
      <c r="A24" s="173" t="s">
        <v>77</v>
      </c>
      <c r="B24" s="37">
        <f>aantalw2001_steenkool</f>
        <v>3</v>
      </c>
      <c r="C24" s="168" t="s">
        <v>111</v>
      </c>
      <c r="D24" s="231"/>
      <c r="E24" s="15"/>
    </row>
    <row r="25" spans="1:7">
      <c r="A25" s="173" t="s">
        <v>78</v>
      </c>
      <c r="B25" s="37">
        <f>aantalw2001_stookolie</f>
        <v>22</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34</v>
      </c>
      <c r="C28" s="36"/>
      <c r="D28" s="230"/>
    </row>
    <row r="29" spans="1:7" s="15" customFormat="1">
      <c r="A29" s="232" t="s">
        <v>746</v>
      </c>
      <c r="B29" s="37">
        <f>SUM(HH_hh_gas_aantal,HH_rest_gas_aantal)</f>
        <v>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v>
      </c>
      <c r="C32" s="169">
        <f>IF(ISERROR(B32/SUM($B$32,$B$34,$B$35,$B$36,$B$38,$B$39)*100),0,B32/SUM($B$32,$B$34,$B$35,$B$36,$B$38,$B$39)*100)</f>
        <v>35.294117647058826</v>
      </c>
      <c r="D32" s="235"/>
      <c r="G32" s="15"/>
    </row>
    <row r="33" spans="1:7">
      <c r="A33" s="173" t="s">
        <v>72</v>
      </c>
      <c r="B33" s="34" t="s">
        <v>111</v>
      </c>
      <c r="C33" s="169"/>
      <c r="D33" s="235"/>
      <c r="G33" s="15"/>
    </row>
    <row r="34" spans="1:7">
      <c r="A34" s="173" t="s">
        <v>73</v>
      </c>
      <c r="B34" s="33">
        <f>IF((($B$28-$B$32-$B$39-$B$77-$B$38)*C20/100)&lt;0,0,($B$28-$B$32-$B$39-$B$77-$B$38)*C20/100)</f>
        <v>0</v>
      </c>
      <c r="C34" s="169">
        <f>IF(ISERROR(B34/SUM($B$32,$B$34,$B$35,$B$36,$B$38,$B$39)*100),0,B34/SUM($B$32,$B$34,$B$35,$B$36,$B$38,$B$39)*100)</f>
        <v>0</v>
      </c>
      <c r="D34" s="235"/>
      <c r="G34" s="15"/>
    </row>
    <row r="35" spans="1:7">
      <c r="A35" s="173" t="s">
        <v>74</v>
      </c>
      <c r="B35" s="33">
        <f>IF((($B$28-$B$32-$B$39-$B$77-$B$38)*C21/100)&lt;0,0,($B$28-$B$32-$B$39-$B$77-$B$38)*C21/100)</f>
        <v>4.9999999999999991</v>
      </c>
      <c r="C35" s="169">
        <f>IF(ISERROR(B35/SUM($B$32,$B$34,$B$35,$B$36,$B$38,$B$39)*100),0,B35/SUM($B$32,$B$34,$B$35,$B$36,$B$38,$B$39)*100)</f>
        <v>14.705882352941174</v>
      </c>
      <c r="D35" s="235"/>
      <c r="G35" s="15"/>
    </row>
    <row r="36" spans="1:7">
      <c r="A36" s="173" t="s">
        <v>75</v>
      </c>
      <c r="B36" s="33">
        <f>IF((($B$28-$B$32-$B$39-$B$77-$B$38)*C22/100)&lt;0,0,($B$28-$B$32-$B$39-$B$77-$B$38)*C22/100)</f>
        <v>0</v>
      </c>
      <c r="C36" s="169">
        <f>IF(ISERROR(B36/SUM($B$32,$B$34,$B$35,$B$36,$B$38,$B$39)*100),0,B36/SUM($B$32,$B$34,$B$35,$B$36,$B$38,$B$39)*100)</f>
        <v>0</v>
      </c>
      <c r="D36" s="235"/>
      <c r="G36" s="15"/>
    </row>
    <row r="37" spans="1:7">
      <c r="A37" s="173" t="s">
        <v>76</v>
      </c>
      <c r="B37" s="34" t="s">
        <v>111</v>
      </c>
      <c r="C37" s="169"/>
      <c r="D37" s="175"/>
      <c r="G37" s="15"/>
    </row>
    <row r="38" spans="1:7">
      <c r="A38" s="173" t="s">
        <v>77</v>
      </c>
      <c r="B38" s="33">
        <f>IF((B24-(B29-B18)*0.1)&lt;0,0,B24-(B29-B18)*0.1)</f>
        <v>2.2000000000000002</v>
      </c>
      <c r="C38" s="169">
        <f>IF(ISERROR(B38/SUM($B$32,$B$34,$B$35,$B$36,$B$38,$B$39)*100),0,B38/SUM($B$32,$B$34,$B$35,$B$36,$B$38,$B$39)*100)</f>
        <v>6.4705882352941186</v>
      </c>
      <c r="D38" s="236"/>
      <c r="G38" s="15"/>
    </row>
    <row r="39" spans="1:7">
      <c r="A39" s="173" t="s">
        <v>78</v>
      </c>
      <c r="B39" s="33">
        <f>IF((B25-(B29-B18))&lt;0,0,B25-(B29-B18)*0.9)</f>
        <v>14.8</v>
      </c>
      <c r="C39" s="169">
        <f>IF(ISERROR(B39/SUM($B$32,$B$34,$B$35,$B$36,$B$38,$B$39)*100),0,B39/SUM($B$32,$B$34,$B$35,$B$36,$B$38,$B$39)*100)</f>
        <v>43.529411764705884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v>
      </c>
      <c r="C44" s="34" t="s">
        <v>111</v>
      </c>
      <c r="D44" s="176"/>
    </row>
    <row r="45" spans="1:7">
      <c r="A45" s="173" t="s">
        <v>72</v>
      </c>
      <c r="B45" s="33" t="str">
        <f t="shared" si="0"/>
        <v>-</v>
      </c>
      <c r="C45" s="34" t="s">
        <v>111</v>
      </c>
      <c r="D45" s="176"/>
    </row>
    <row r="46" spans="1:7">
      <c r="A46" s="173" t="s">
        <v>73</v>
      </c>
      <c r="B46" s="33">
        <f t="shared" si="0"/>
        <v>0</v>
      </c>
      <c r="C46" s="34" t="s">
        <v>111</v>
      </c>
      <c r="D46" s="176"/>
    </row>
    <row r="47" spans="1:7">
      <c r="A47" s="173" t="s">
        <v>74</v>
      </c>
      <c r="B47" s="33">
        <f t="shared" si="0"/>
        <v>4.9999999999999991</v>
      </c>
      <c r="C47" s="34" t="s">
        <v>111</v>
      </c>
      <c r="D47" s="176"/>
    </row>
    <row r="48" spans="1:7">
      <c r="A48" s="173" t="s">
        <v>75</v>
      </c>
      <c r="B48" s="33">
        <f t="shared" si="0"/>
        <v>0</v>
      </c>
      <c r="C48" s="33">
        <f>B48*10</f>
        <v>0</v>
      </c>
      <c r="D48" s="236"/>
    </row>
    <row r="49" spans="1:6">
      <c r="A49" s="173" t="s">
        <v>76</v>
      </c>
      <c r="B49" s="33" t="str">
        <f t="shared" si="0"/>
        <v>-</v>
      </c>
      <c r="C49" s="34" t="s">
        <v>111</v>
      </c>
      <c r="D49" s="236"/>
    </row>
    <row r="50" spans="1:6">
      <c r="A50" s="173" t="s">
        <v>77</v>
      </c>
      <c r="B50" s="33">
        <f t="shared" si="0"/>
        <v>2.2000000000000002</v>
      </c>
      <c r="C50" s="33">
        <f>B50*2</f>
        <v>4.4000000000000004</v>
      </c>
      <c r="D50" s="236"/>
    </row>
    <row r="51" spans="1:6">
      <c r="A51" s="173" t="s">
        <v>78</v>
      </c>
      <c r="B51" s="33">
        <f t="shared" si="0"/>
        <v>14.8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32.75</v>
      </c>
      <c r="C5" s="17">
        <f>IF(ISERROR('Eigen informatie GS &amp; warmtenet'!B58),0,'Eigen informatie GS &amp; warmtenet'!B58)</f>
        <v>0</v>
      </c>
      <c r="D5" s="30">
        <f>SUM(D6:D12)</f>
        <v>0</v>
      </c>
      <c r="E5" s="17">
        <f>SUM(E6:E12)</f>
        <v>0.39724121849503075</v>
      </c>
      <c r="F5" s="17">
        <f>SUM(F6:F12)</f>
        <v>6.4806143212337686</v>
      </c>
      <c r="G5" s="18"/>
      <c r="H5" s="17"/>
      <c r="I5" s="17"/>
      <c r="J5" s="17">
        <f>SUM(J6:J12)</f>
        <v>0</v>
      </c>
      <c r="K5" s="17"/>
      <c r="L5" s="17"/>
      <c r="M5" s="17"/>
      <c r="N5" s="17">
        <f>SUM(N6:N12)</f>
        <v>2.5997028470625438</v>
      </c>
      <c r="O5" s="17">
        <f>B38*B39*B40</f>
        <v>0</v>
      </c>
      <c r="P5" s="17">
        <f>B46*B47*B48/1000-B46*B47*B48/1000/B49</f>
        <v>0</v>
      </c>
      <c r="R5" s="32"/>
    </row>
    <row r="6" spans="1:18">
      <c r="A6" s="32" t="s">
        <v>54</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53</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32.75</v>
      </c>
      <c r="C12" s="33"/>
      <c r="D12" s="37">
        <f>IF(ISERROR(TER_rest_gas_kWh/1000),0,TER_rest_gas_kWh/1000)*0.902</f>
        <v>0</v>
      </c>
      <c r="E12" s="33">
        <f>$C$32*'E Balans VL '!I8/100/3.6*1000000</f>
        <v>0.39724121849503075</v>
      </c>
      <c r="F12" s="33">
        <f>$C$32*('E Balans VL '!L8+'E Balans VL '!N8)/100/3.6*1000000</f>
        <v>6.4806143212337686</v>
      </c>
      <c r="G12" s="34"/>
      <c r="H12" s="33"/>
      <c r="I12" s="33"/>
      <c r="J12" s="33">
        <f>$C$32*('E Balans VL '!D8+'E Balans VL '!E8)/100/3.6*1000000</f>
        <v>0</v>
      </c>
      <c r="K12" s="33"/>
      <c r="L12" s="33"/>
      <c r="M12" s="33"/>
      <c r="N12" s="33">
        <f>$C$32*'E Balans VL '!Y8/100/3.6*1000000</f>
        <v>2.5997028470625438</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32.75</v>
      </c>
      <c r="C16" s="21">
        <f t="shared" ca="1" si="1"/>
        <v>0</v>
      </c>
      <c r="D16" s="21">
        <f t="shared" ca="1" si="1"/>
        <v>0</v>
      </c>
      <c r="E16" s="21">
        <f t="shared" si="1"/>
        <v>0.39724121849503075</v>
      </c>
      <c r="F16" s="21">
        <f t="shared" ca="1" si="1"/>
        <v>6.4806143212337686</v>
      </c>
      <c r="G16" s="21">
        <f t="shared" si="1"/>
        <v>0</v>
      </c>
      <c r="H16" s="21">
        <f t="shared" si="1"/>
        <v>0</v>
      </c>
      <c r="I16" s="21">
        <f t="shared" si="1"/>
        <v>0</v>
      </c>
      <c r="J16" s="21">
        <f t="shared" si="1"/>
        <v>0</v>
      </c>
      <c r="K16" s="21">
        <f t="shared" si="1"/>
        <v>0</v>
      </c>
      <c r="L16" s="21">
        <f t="shared" ca="1" si="1"/>
        <v>0</v>
      </c>
      <c r="M16" s="21">
        <f t="shared" si="1"/>
        <v>0</v>
      </c>
      <c r="N16" s="21">
        <f t="shared" ca="1" si="1"/>
        <v>2.5997028470625438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0.19958330750562792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6.5363533208093143</v>
      </c>
      <c r="C20" s="23">
        <f t="shared" ref="C20:P20" ca="1" si="2">C16*C18</f>
        <v>0</v>
      </c>
      <c r="D20" s="23">
        <f t="shared" ca="1" si="2"/>
        <v>0</v>
      </c>
      <c r="E20" s="23">
        <f t="shared" si="2"/>
        <v>9.0173756598371985E-2</v>
      </c>
      <c r="F20" s="23">
        <f t="shared" ca="1" si="2"/>
        <v>1.7303240237694164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0</v>
      </c>
      <c r="C26" s="39">
        <f>IF(ISERROR(B26*3.6/1000000/'E Balans VL '!Z12*100),0,B26*3.6/1000000/'E Balans VL '!Z12*100)</f>
        <v>0</v>
      </c>
      <c r="D26" s="239" t="s">
        <v>692</v>
      </c>
      <c r="F26" s="6"/>
    </row>
    <row r="27" spans="1:18">
      <c r="A27" s="233" t="s">
        <v>53</v>
      </c>
      <c r="B27" s="33">
        <f>IF(ISERROR(TER_horeca_ele_kWh/1000),0,TER_horeca_ele_kWh/1000)</f>
        <v>0</v>
      </c>
      <c r="C27" s="39">
        <f>IF(ISERROR(B27*3.6/1000000/'E Balans VL '!Z9*100),0,B27*3.6/1000000/'E Balans VL '!Z9*100)</f>
        <v>0</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v>
      </c>
      <c r="C29" s="39">
        <f>IF(ISERROR(B29*3.6/1000000/'E Balans VL '!Z10*100),0,B29*3.6/1000000/'E Balans VL '!Z10*100)</f>
        <v>0</v>
      </c>
      <c r="D29" s="239" t="s">
        <v>692</v>
      </c>
      <c r="F29" s="6"/>
    </row>
    <row r="30" spans="1:18">
      <c r="A30" s="233" t="s">
        <v>50</v>
      </c>
      <c r="B30" s="33">
        <f>IF(ISERROR(TER_ander_ele_kWh/1000),0,TER_ander_ele_kWh/1000)</f>
        <v>0</v>
      </c>
      <c r="C30" s="39">
        <f>IF(ISERROR(B30*3.6/1000000/'E Balans VL '!Z14*100),0,B30*3.6/1000000/'E Balans VL '!Z14*100)</f>
        <v>0</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32.75</v>
      </c>
      <c r="C32" s="39">
        <f>IF(ISERROR(B32*3.6/1000000/'E Balans VL '!Z8*100),0,B32*3.6/1000000/'E Balans VL '!Z8*100)</f>
        <v>2.6689262503483093E-4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15.9</v>
      </c>
      <c r="C5" s="17">
        <f>IF(ISERROR('Eigen informatie GS &amp; warmtenet'!B59),0,'Eigen informatie GS &amp; warmtenet'!B59)</f>
        <v>0</v>
      </c>
      <c r="D5" s="30">
        <f>SUM(D6:D15)</f>
        <v>0</v>
      </c>
      <c r="E5" s="17">
        <f>SUM(E6:E15)</f>
        <v>0.88703182499908673</v>
      </c>
      <c r="F5" s="17">
        <f>SUM(F6:F15)</f>
        <v>3.7377660057212019</v>
      </c>
      <c r="G5" s="18"/>
      <c r="H5" s="17"/>
      <c r="I5" s="17"/>
      <c r="J5" s="17">
        <f>SUM(J6:J15)</f>
        <v>4.0752699891032154E-2</v>
      </c>
      <c r="K5" s="17"/>
      <c r="L5" s="17"/>
      <c r="M5" s="17"/>
      <c r="N5" s="17">
        <f>SUM(N6:N15)</f>
        <v>3.1204247218211418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v>
      </c>
      <c r="C15" s="33"/>
      <c r="D15" s="37">
        <f>IF( ISERROR(IND_rest_gas_kWh/1000),0,IND_rest_gas_kWh/1000)*0.902</f>
        <v>0</v>
      </c>
      <c r="E15" s="33">
        <f>C37*'E Balans VL '!I15/100/3.6*1000000</f>
        <v>0.88703182499908673</v>
      </c>
      <c r="F15" s="33">
        <f>C37*'E Balans VL '!L15/100/3.6*1000000+C37*'E Balans VL '!N15/100/3.6*1000000</f>
        <v>3.7377660057212019</v>
      </c>
      <c r="G15" s="34"/>
      <c r="H15" s="33"/>
      <c r="I15" s="33"/>
      <c r="J15" s="40">
        <f>C37*'E Balans VL '!D15/100/3.6*1000000+C37*'E Balans VL '!E15/100/3.6*1000000</f>
        <v>4.0752699891032154E-2</v>
      </c>
      <c r="K15" s="33"/>
      <c r="L15" s="33"/>
      <c r="M15" s="33"/>
      <c r="N15" s="33">
        <f>C37*'E Balans VL '!Y15/100/3.6*1000000</f>
        <v>3.1204247218211418</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15.9</v>
      </c>
      <c r="C18" s="21">
        <f>C5+C16</f>
        <v>0</v>
      </c>
      <c r="D18" s="21">
        <f>MAX((D5+D16),0)</f>
        <v>0</v>
      </c>
      <c r="E18" s="21">
        <f>MAX((E5+E16),0)</f>
        <v>0.88703182499908673</v>
      </c>
      <c r="F18" s="21">
        <f>MAX((F5+F16),0)</f>
        <v>3.7377660057212019</v>
      </c>
      <c r="G18" s="21"/>
      <c r="H18" s="21"/>
      <c r="I18" s="21"/>
      <c r="J18" s="21">
        <f>MAX((J5+J16),0)</f>
        <v>4.0752699891032154E-2</v>
      </c>
      <c r="K18" s="21"/>
      <c r="L18" s="21">
        <f>MAX((L5+L16),0)</f>
        <v>0</v>
      </c>
      <c r="M18" s="21"/>
      <c r="N18" s="21">
        <f>MAX((N5+N16),0)</f>
        <v>3.1204247218211418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0.19958330750562792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3.1733745893394838</v>
      </c>
      <c r="C22" s="23">
        <f ca="1">C18*C20</f>
        <v>0</v>
      </c>
      <c r="D22" s="23">
        <f>D18*D20</f>
        <v>0</v>
      </c>
      <c r="E22" s="23">
        <f>E18*E20</f>
        <v>0.20135622427479269</v>
      </c>
      <c r="F22" s="23">
        <f>F18*F20</f>
        <v>0.99798352352756092</v>
      </c>
      <c r="G22" s="23"/>
      <c r="H22" s="23"/>
      <c r="I22" s="23"/>
      <c r="J22" s="23">
        <f>J18*J20</f>
        <v>1.4426455761425382E-2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15.9</v>
      </c>
      <c r="C37" s="39">
        <f>IF(ISERROR(B37*3.6/1000000/'E Balans VL '!Z15*100),0,B37*3.6/1000000/'E Balans VL '!Z15*100)</f>
        <v>1.2252902922553087E-4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44.706000000000003</v>
      </c>
      <c r="C5" s="17">
        <f>'Eigen informatie GS &amp; warmtenet'!B60</f>
        <v>0</v>
      </c>
      <c r="D5" s="30">
        <f>IF(ISERROR(SUM(LB_lb_gas_kWh,LB_rest_gas_kWh,onbekend_gas_kWh)/1000),0,SUM(LB_lb_gas_kWh,LB_rest_gas_kWh,onbekend_gas_kWh)/1000)*0.902</f>
        <v>47.473162000000002</v>
      </c>
      <c r="E5" s="17">
        <f>B17*'E Balans VL '!I25/3.6*1000000/100</f>
        <v>0.56335319303784959</v>
      </c>
      <c r="F5" s="17">
        <f>B17*('E Balans VL '!L25/3.6*1000000+'E Balans VL '!N25/3.6*1000000)/100</f>
        <v>154.2468995221989</v>
      </c>
      <c r="G5" s="18"/>
      <c r="H5" s="17"/>
      <c r="I5" s="17"/>
      <c r="J5" s="17">
        <f>('E Balans VL '!D25+'E Balans VL '!E25)/3.6*1000000*landbouw!B17/100</f>
        <v>6.723274200128043</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44.706000000000003</v>
      </c>
      <c r="C8" s="21">
        <f>C5+C6</f>
        <v>0</v>
      </c>
      <c r="D8" s="21">
        <f>MAX((D5+D6),0)</f>
        <v>47.473162000000002</v>
      </c>
      <c r="E8" s="21">
        <f>MAX((E5+E6),0)</f>
        <v>0.56335319303784959</v>
      </c>
      <c r="F8" s="21">
        <f>MAX((F5+F6),0)</f>
        <v>154.2468995221989</v>
      </c>
      <c r="G8" s="21"/>
      <c r="H8" s="21"/>
      <c r="I8" s="21"/>
      <c r="J8" s="21">
        <f>MAX((J5+J6),0)</f>
        <v>6.723274200128043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0.19958330750562792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8.9225713453466025</v>
      </c>
      <c r="C12" s="23">
        <f ca="1">C8*C10</f>
        <v>0</v>
      </c>
      <c r="D12" s="23">
        <f>D8*D10</f>
        <v>9.5895787240000008</v>
      </c>
      <c r="E12" s="23">
        <f>E8*E10</f>
        <v>0.12788117481959185</v>
      </c>
      <c r="F12" s="23">
        <f>F8*F10</f>
        <v>41.18392217242711</v>
      </c>
      <c r="G12" s="23"/>
      <c r="H12" s="23"/>
      <c r="I12" s="23"/>
      <c r="J12" s="23">
        <f>J8*J10</f>
        <v>2.3800390668453271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6.2350779486702165E-3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2.085955068099691</v>
      </c>
      <c r="C26" s="249">
        <f>B26*'GWP N2O_CH4'!B5</f>
        <v>43.805056430093508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0.17761885541887149</v>
      </c>
      <c r="C27" s="249">
        <f>B27*'GWP N2O_CH4'!B5</f>
        <v>3.7299959637963012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3.1437735167657355E-2</v>
      </c>
      <c r="C28" s="249">
        <f>B28*'GWP N2O_CH4'!B4</f>
        <v>9.7456979019737808</v>
      </c>
      <c r="D28" s="50"/>
    </row>
    <row r="29" spans="1:4">
      <c r="A29" s="41" t="s">
        <v>277</v>
      </c>
      <c r="B29" s="249">
        <f>B34*'ha_N2O bodem landbouw'!B4</f>
        <v>0.69096840205870458</v>
      </c>
      <c r="C29" s="249">
        <f>B29*'GWP N2O_CH4'!B4</f>
        <v>214.20020463819841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1.7252790564508332E-4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7.0331852550089068E-7</v>
      </c>
      <c r="C5" s="448" t="s">
        <v>211</v>
      </c>
      <c r="D5" s="433">
        <f>SUM(D6:D11)</f>
        <v>1.1216892786945156E-6</v>
      </c>
      <c r="E5" s="433">
        <f>SUM(E6:E11)</f>
        <v>3.4518512187454996E-5</v>
      </c>
      <c r="F5" s="446" t="s">
        <v>211</v>
      </c>
      <c r="G5" s="433">
        <f>SUM(G6:G11)</f>
        <v>7.7596061712263253E-3</v>
      </c>
      <c r="H5" s="433">
        <f>SUM(H6:H11)</f>
        <v>1.686676551791563E-3</v>
      </c>
      <c r="I5" s="448" t="s">
        <v>211</v>
      </c>
      <c r="J5" s="448" t="s">
        <v>211</v>
      </c>
      <c r="K5" s="448" t="s">
        <v>211</v>
      </c>
      <c r="L5" s="448" t="s">
        <v>211</v>
      </c>
      <c r="M5" s="433">
        <f>SUM(M6:M11)</f>
        <v>4.2225579192655636E-4</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5.8978866566362524E-7</v>
      </c>
      <c r="C6" s="949"/>
      <c r="D6" s="949">
        <f>vkm_2011_GW_PW*SUMIFS(TableVerdeelsleutelVkm[CNG],TableVerdeelsleutelVkm[Voertuigtype],"Lichte voertuigen")*SUMIFS(TableECFTransport[EnergieConsumptieFactor (PJ per km)],TableECFTransport[Index],CONCATENATE($A6,"_CNG_CNG"))</f>
        <v>8.3525610180931708E-7</v>
      </c>
      <c r="E6" s="949">
        <f>vkm_2011_GW_PW*SUMIFS(TableVerdeelsleutelVkm[LPG],TableVerdeelsleutelVkm[Voertuigtype],"Lichte voertuigen")*SUMIFS(TableECFTransport[EnergieConsumptieFactor (PJ per km)],TableECFTransport[Index],CONCATENATE($A6,"_LPG_LPG"))</f>
        <v>2.6232644422149912E-5</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4.7147245059591773E-3</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1.2668893668442793E-3</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2.669261204842322E-4</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1.5763125652146351E-3</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5.6161725208007538E-7</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7.1132427644040726E-5</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1.1352985983726539E-7</v>
      </c>
      <c r="C8" s="949"/>
      <c r="D8" s="436">
        <f>vkm_2011_NGW_PW*SUMIFS(TableVerdeelsleutelVkm[CNG],TableVerdeelsleutelVkm[Voertuigtype],"Lichte voertuigen")*SUMIFS(TableECFTransport[EnergieConsumptieFactor (PJ per km)],TableECFTransport[Index],CONCATENATE($A8,"_CNG_CNG"))</f>
        <v>2.8643317688519854E-7</v>
      </c>
      <c r="E8" s="436">
        <f>vkm_2011_NGW_PW*SUMIFS(TableVerdeelsleutelVkm[LPG],TableVerdeelsleutelVkm[Voertuigtype],"Lichte voertuigen")*SUMIFS(TableECFTransport[EnergieConsumptieFactor (PJ per km)],TableECFTransport[Index],CONCATENATE($A8,"_LPG_LPG"))</f>
        <v>8.2858677653050856E-6</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1.4045349342507345E-3</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4.1920397859407534E-4</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8.1307700780181998E-5</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6.4034165801777585E-5</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2.1589101128424788E-8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2.8895430181013894E-6</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0.19536625708358074</v>
      </c>
      <c r="C14" s="21"/>
      <c r="D14" s="21">
        <f t="shared" ref="D14:M14" si="0">((D5)*10^9/3600)+D12</f>
        <v>0.31158035519292104</v>
      </c>
      <c r="E14" s="21">
        <f t="shared" si="0"/>
        <v>9.5884756076263873</v>
      </c>
      <c r="F14" s="21"/>
      <c r="G14" s="21">
        <f t="shared" si="0"/>
        <v>2155.4461586739794</v>
      </c>
      <c r="H14" s="21">
        <f t="shared" si="0"/>
        <v>468.52126438654528</v>
      </c>
      <c r="I14" s="21"/>
      <c r="J14" s="21"/>
      <c r="K14" s="21"/>
      <c r="L14" s="21"/>
      <c r="M14" s="21">
        <f t="shared" si="0"/>
        <v>117.29327553515455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0.19958330750562792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3.8991843763735851E-2</v>
      </c>
      <c r="C18" s="23"/>
      <c r="D18" s="23">
        <f t="shared" ref="D18:M18" si="1">D14*D16</f>
        <v>6.2939231748970051E-2</v>
      </c>
      <c r="E18" s="23">
        <f t="shared" si="1"/>
        <v>2.1765839629311898</v>
      </c>
      <c r="F18" s="23"/>
      <c r="G18" s="23">
        <f t="shared" si="1"/>
        <v>575.50412436595252</v>
      </c>
      <c r="H18" s="23">
        <f t="shared" si="1"/>
        <v>116.66179483224977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5.775103101919183E-5</v>
      </c>
      <c r="H50" s="323">
        <f t="shared" si="2"/>
        <v>0</v>
      </c>
      <c r="I50" s="323">
        <f t="shared" si="2"/>
        <v>0</v>
      </c>
      <c r="J50" s="323">
        <f t="shared" si="2"/>
        <v>0</v>
      </c>
      <c r="K50" s="323">
        <f t="shared" si="2"/>
        <v>0</v>
      </c>
      <c r="L50" s="323">
        <f t="shared" si="2"/>
        <v>0</v>
      </c>
      <c r="M50" s="323">
        <f t="shared" si="2"/>
        <v>2.5683296036160991E-6</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5.775103101919183E-5</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2.5683296036160991E-6</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16.04195306088662</v>
      </c>
      <c r="H54" s="21">
        <f t="shared" si="3"/>
        <v>0</v>
      </c>
      <c r="I54" s="21">
        <f t="shared" si="3"/>
        <v>0</v>
      </c>
      <c r="J54" s="21">
        <f t="shared" si="3"/>
        <v>0</v>
      </c>
      <c r="K54" s="21">
        <f t="shared" si="3"/>
        <v>0</v>
      </c>
      <c r="L54" s="21">
        <f t="shared" si="3"/>
        <v>0</v>
      </c>
      <c r="M54" s="21">
        <f t="shared" si="3"/>
        <v>0.71342488989336084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0.19958330750562792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4.2832014672567276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26.992479522205311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26.992479522205311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2018-06-27T09:33:04Z</dcterms:modified>
</cp:coreProperties>
</file>