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J5" i="48"/>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F22" i="16"/>
  <c r="G39" i="14" s="1"/>
  <c r="G41" s="1"/>
  <c r="Q4" i="48"/>
  <c r="N22"/>
  <c r="R11" i="14"/>
  <c r="J21" i="48"/>
  <c r="R10" i="14"/>
  <c r="C56" i="22" l="1"/>
  <c r="C58" s="1"/>
  <c r="D44" i="14" s="1"/>
  <c r="D46" s="1"/>
  <c r="C10" i="17"/>
  <c r="C12" s="1"/>
  <c r="D48" i="14" s="1"/>
  <c r="Q5" i="48"/>
  <c r="C16" i="22"/>
  <c r="O13" i="14"/>
  <c r="O15" s="1"/>
  <c r="C10" i="13"/>
  <c r="C16" i="48" s="1"/>
  <c r="C30" s="1"/>
  <c r="F13" i="14"/>
  <c r="F15" s="1"/>
  <c r="F23" s="1"/>
  <c r="F55" s="1"/>
  <c r="K13"/>
  <c r="K15" s="1"/>
  <c r="K23" s="1"/>
  <c r="C17" i="49"/>
  <c r="C18" i="15"/>
  <c r="C20" s="1"/>
  <c r="D36" i="14" s="1"/>
  <c r="N22" i="16"/>
  <c r="O39" i="14" s="1"/>
  <c r="O41" s="1"/>
  <c r="C20" i="16"/>
  <c r="C22" s="1"/>
  <c r="D39" i="14" s="1"/>
  <c r="F8" i="48"/>
  <c r="N25"/>
  <c r="N31" s="1"/>
  <c r="N14"/>
  <c r="E25"/>
  <c r="E31" s="1"/>
  <c r="E14"/>
  <c r="H55" i="14"/>
  <c r="E55"/>
  <c r="C78"/>
  <c r="C81" s="1"/>
  <c r="J14" i="48"/>
  <c r="J31"/>
  <c r="Q8"/>
  <c r="R19" i="14"/>
  <c r="R20" s="1"/>
  <c r="H14" i="48"/>
  <c r="G31"/>
  <c r="H26"/>
  <c r="H31" s="1"/>
  <c r="O53" i="14"/>
  <c r="G53"/>
  <c r="G55" s="1"/>
  <c r="O69" s="1"/>
  <c r="B9" i="6" s="1"/>
  <c r="B12" s="1"/>
  <c r="M53" i="14"/>
  <c r="M55" s="1"/>
  <c r="C12" i="13"/>
  <c r="D37" i="14" s="1"/>
  <c r="D41" s="1"/>
  <c r="C22" i="48"/>
  <c r="C21"/>
  <c r="K55" i="14"/>
  <c r="F25" i="48"/>
  <c r="F31" s="1"/>
  <c r="F14"/>
  <c r="C26" l="1"/>
  <c r="C23"/>
  <c r="C24"/>
  <c r="R13" i="14"/>
  <c r="R15" s="1"/>
  <c r="C27" i="48"/>
  <c r="C28"/>
  <c r="C25"/>
  <c r="C29"/>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<sst xmlns="http://schemas.openxmlformats.org/spreadsheetml/2006/main" count="1970" uniqueCount="847">
  <si>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</si>
  <si>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</si>
  <si>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</si>
  <si>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</si>
  <si>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</si>
  <si>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</si>
  <si>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</si>
  <si>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</si>
  <si>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</si>
  <si>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</si>
  <si>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</si>
  <si>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</si>
  <si>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</si>
  <si>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</si>
  <si>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</si>
  <si>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</si>
  <si>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</si>
  <si>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</si>
  <si>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</si>
  <si>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</si>
  <si>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</si>
  <si>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</si>
  <si>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</si>
  <si>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</si>
  <si>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</si>
  <si>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</si>
  <si>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</si>
  <si>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</si>
  <si>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</si>
  <si>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</si>
  <si>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</si>
  <si>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</si>
  <si>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</si>
  <si>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</si>
  <si>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</si>
  <si>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</si>
  <si>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</si>
  <si>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</si>
  <si>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</si>
  <si>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</si>
  <si>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</si>
  <si>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</si>
  <si>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</si>
  <si>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</si>
  <si>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</si>
  <si>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</si>
  <si>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</si>
  <si>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</si>
  <si>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</si>
  <si>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</si>
  <si>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</si>
  <si>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</si>
  <si>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</si>
  <si>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</si>
  <si>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</si>
  <si>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</si>
  <si>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</si>
  <si>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</si>
  <si>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</si>
  <si>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</si>
  <si>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</si>
  <si>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</si>
  <si>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</si>
  <si>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</si>
  <si>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</si>
  <si>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</si>
  <si>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</si>
  <si>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</si>
  <si>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</si>
  <si>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</si>
  <si>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</si>
  <si>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</si>
  <si>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</si>
  <si>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</si>
  <si>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</si>
  <si>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</si>
  <si>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</si>
  <si>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</si>
  <si>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</si>
  <si>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</si>
  <si>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</si>
  <si>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</si>
  <si>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</si>
  <si>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</si>
  <si>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</si>
  <si>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</si>
  <si>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</si>
  <si>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</si>
  <si>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</si>
  <si>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</si>
  <si>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</si>
  <si>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</si>
  <si>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</si>
  <si>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</si>
  <si>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</si>
  <si>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</si>
  <si>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</si>
  <si>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</si>
  <si>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</si>
  <si>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</si>
  <si>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</si>
  <si>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</si>
  <si>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</si>
  <si>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</si>
  <si>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</si>
  <si>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</si>
  <si>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</si>
  <si>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</si>
  <si>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</si>
  <si>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</si>
  <si>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</si>
  <si>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</si>
  <si>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</si>
  <si>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</si>
  <si>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</si>
  <si>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</si>
  <si>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</si>
  <si>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</si>
  <si>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</si>
  <si>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</si>
  <si>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</si>
  <si>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</si>
  <si>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</si>
  <si>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</si>
  <si>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</si>
  <si>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</si>
  <si>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</si>
  <si>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</si>
  <si>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</si>
  <si>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</si>
  <si>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</si>
  <si>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</si>
  <si>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</si>
  <si>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</si>
  <si>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</si>
  <si>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</si>
  <si>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</si>
  <si>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</si>
  <si>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</si>
  <si>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</si>
  <si>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</si>
  <si>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</si>
  <si>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</si>
  <si>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</si>
  <si>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</si>
  <si>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</si>
  <si>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</si>
  <si>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</si>
  <si>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</si>
  <si>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</si>
  <si>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</si>
  <si>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</si>
  <si>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</si>
  <si>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</si>
  <si>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</si>
  <si>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</si>
  <si>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</si>
  <si>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</si>
  <si>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</si>
  <si>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</si>
  <si>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</si>
  <si>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</si>
  <si>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</si>
  <si>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</si>
  <si>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</si>
  <si>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</si>
  <si>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</si>
  <si>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</si>
  <si>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</si>
  <si>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</si>
  <si>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</si>
  <si>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</si>
  <si>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</si>
  <si>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</si>
  <si>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</si>
  <si>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</si>
  <si>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</si>
  <si>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</si>
  <si>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</si>
  <si>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</si>
  <si>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</si>
  <si>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</si>
  <si>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</si>
  <si>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</si>
  <si>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</si>
  <si>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</si>
  <si>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</si>
  <si>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</si>
  <si>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</si>
  <si>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</si>
  <si>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</si>
  <si>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</si>
  <si>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</si>
  <si>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</si>
  <si>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</si>
  <si>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</si>
  <si>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</si>
  <si>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</si>
  <si>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</si>
  <si>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</si>
  <si>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</si>
  <si>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</si>
  <si>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</si>
  <si>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</si>
  <si>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</si>
  <si>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</si>
  <si>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</si>
  <si>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</si>
  <si>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</si>
  <si>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</si>
  <si>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</si>
  <si>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</si>
  <si>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</si>
  <si>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</si>
  <si>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</si>
  <si>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</si>
  <si>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</si>
  <si>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</si>
  <si>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</si>
  <si>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</si>
  <si>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</si>
  <si>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</si>
  <si>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</si>
  <si>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</si>
  <si>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</si>
  <si>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</si>
  <si>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</si>
  <si>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</si>
  <si>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</si>
  <si>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</si>
  <si>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</si>
  <si>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</si>
  <si>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</si>
  <si>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</si>
  <si>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</si>
  <si>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</si>
  <si>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</si>
  <si>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</si>
  <si>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</si>
  <si>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</si>
  <si>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</si>
  <si>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</si>
  <si>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</si>
  <si>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</si>
  <si>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</si>
  <si>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</si>
  <si>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</si>
  <si>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</si>
  <si>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</si>
  <si>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</si>
  <si>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</si>
  <si>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</si>
  <si>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</si>
  <si>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</si>
  <si>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</si>
  <si>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</si>
  <si>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</si>
  <si>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</si>
  <si>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</si>
  <si>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</si>
  <si>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</si>
  <si>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</si>
  <si>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</si>
  <si>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</si>
  <si>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</si>
  <si>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</si>
  <si>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</si>
  <si>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</si>
  <si>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</si>
  <si>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</si>
  <si>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</si>
  <si>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</si>
  <si>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</si>
  <si>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</si>
  <si>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</si>
  <si>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</si>
  <si>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</si>
  <si>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</si>
  <si>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</si>
  <si>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</si>
  <si>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</si>
  <si>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</si>
  <si>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</si>
  <si>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</si>
  <si>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</si>
  <si>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</si>
  <si>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</si>
  <si>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</si>
  <si>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</si>
  <si>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</si>
  <si>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</si>
  <si>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</si>
  <si>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</si>
  <si>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</si>
  <si>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</si>
  <si>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</si>
  <si>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</si>
  <si>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</si>
  <si>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</si>
  <si>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</si>
  <si>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</si>
  <si>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</si>
  <si>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</si>
  <si>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</si>
  <si>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</si>
  <si>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</si>
  <si>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</si>
  <si>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</si>
  <si>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</si>
  <si>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</si>
  <si>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</si>
  <si>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</si>
  <si>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</si>
  <si>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</si>
  <si>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</si>
  <si>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</si>
  <si>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</si>
  <si>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</si>
  <si>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</si>
  <si>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</si>
  <si>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</si>
  <si>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</si>
  <si>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</si>
  <si>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</si>
  <si>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</si>
  <si>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</si>
  <si>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</si>
  <si>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</si>
  <si>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</si>
  <si>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</si>
  <si>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</si>
  <si>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</si>
  <si>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</si>
  <si>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</si>
  <si>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</si>
  <si>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</si>
  <si>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</si>
  <si>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</si>
  <si>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</si>
  <si>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</si>
  <si>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</si>
  <si>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</si>
  <si>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</si>
  <si>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</si>
  <si>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</si>
  <si>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</si>
  <si>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</si>
  <si>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</si>
  <si>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</si>
  <si>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</si>
  <si>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</si>
  <si>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</si>
  <si>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</si>
  <si>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</si>
  <si>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</si>
  <si>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</si>
  <si>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</si>
  <si>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</si>
  <si>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</si>
  <si>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</si>
  <si>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</si>
  <si>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</si>
  <si>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</si>
  <si>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</si>
  <si>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</si>
  <si>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</si>
  <si>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</si>
  <si>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</si>
  <si>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</si>
  <si>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</si>
  <si>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</si>
  <si>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</si>
  <si>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</si>
  <si>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</si>
  <si>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</si>
  <si>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</si>
  <si>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</si>
  <si>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</si>
  <si>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</si>
  <si>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</si>
  <si>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</si>
  <si>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</si>
  <si>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</si>
  <si>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</si>
  <si>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</si>
  <si>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</si>
  <si>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</si>
  <si>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</si>
  <si>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</si>
  <si>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</si>
  <si>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</si>
  <si>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</si>
  <si>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</si>
  <si>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</si>
  <si>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</si>
  <si>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</si>
  <si>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</si>
  <si>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</si>
  <si>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</si>
  <si>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</si>
  <si>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</si>
  <si>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</si>
  <si>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</si>
  <si>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</si>
  <si>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</si>
  <si>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</si>
  <si>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</si>
  <si>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</si>
  <si>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</si>
  <si>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</si>
  <si>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</si>
  <si>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</si>
  <si>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</si>
  <si>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</si>
  <si>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</si>
  <si>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</si>
  <si>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</si>
  <si>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</si>
  <si>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</si>
  <si>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</si>
  <si>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</si>
  <si>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</si>
  <si>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</si>
  <si>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</si>
  <si>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</si>
  <si>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</si>
  <si>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</si>
  <si>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</si>
  <si>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</si>
  <si>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</si>
  <si>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</si>
  <si>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</si>
  <si>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</si>
  <si>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</si>
  <si>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</si>
  <si>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</si>
  <si>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</si>
  <si>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</si>
  <si>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</si>
  <si>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</si>
  <si>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</si>
  <si>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</si>
  <si>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</si>
  <si>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</si>
  <si>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</si>
  <si>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</si>
  <si>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</si>
  <si>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</si>
  <si>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</si>
  <si>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</si>
  <si>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</si>
  <si>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</si>
  <si>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</si>
  <si>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</si>
  <si>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</si>
  <si>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</si>
  <si>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</si>
  <si>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</si>
  <si>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</si>
  <si>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</si>
  <si>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</si>
  <si>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</si>
  <si>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</si>
  <si>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</si>
  <si>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</si>
  <si>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</si>
  <si>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</si>
  <si>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</si>
  <si>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</si>
  <si>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</si>
  <si>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</si>
  <si>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</si>
  <si>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</si>
  <si>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</si>
  <si>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</si>
  <si>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</si>
  <si>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</si>
  <si>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</si>
  <si>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</si>
  <si>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</si>
  <si>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</si>
  <si>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</si>
  <si>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</si>
  <si>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</si>
  <si>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</si>
  <si>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</si>
  <si>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</si>
  <si>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</si>
  <si>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</si>
  <si>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</si>
  <si>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</si>
  <si>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</si>
  <si>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</si>
  <si>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</si>
  <si>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</si>
  <si>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</si>
  <si>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</si>
  <si>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</si>
  <si>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</si>
  <si>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</si>
  <si>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</si>
  <si>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</si>
  <si>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</si>
  <si>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</si>
  <si>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</si>
  <si>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</si>
  <si>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</si>
  <si>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</si>
  <si>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</si>
  <si>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</si>
  <si>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</si>
  <si>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</si>
  <si>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</si>
  <si>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</si>
  <si>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</si>
  <si>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</si>
  <si>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</si>
  <si>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</si>
  <si>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</si>
  <si>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</si>
  <si>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</si>
  <si>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</si>
  <si>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</si>
  <si>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</si>
  <si>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</si>
  <si>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</si>
  <si>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</si>
  <si>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</si>
  <si>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</si>
  <si>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</si>
  <si>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</si>
  <si>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</si>
  <si>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</si>
  <si>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</si>
  <si>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</si>
  <si>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</si>
  <si>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</si>
  <si>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</si>
  <si>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</si>
  <si>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</si>
  <si>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</si>
  <si>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</si>
  <si>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</si>
  <si>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</si>
  <si>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</si>
  <si>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</si>
  <si>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</si>
  <si>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</si>
  <si>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</si>
  <si>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</si>
  <si>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</si>
  <si>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</si>
  <si>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</si>
  <si>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</si>
  <si>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</si>
  <si>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</si>
  <si>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</si>
  <si>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</si>
  <si>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</si>
  <si>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</si>
  <si>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</si>
  <si>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</si>
  <si>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</si>
  <si>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</si>
  <si>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</si>
  <si>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</si>
  <si>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</si>
  <si>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</si>
  <si>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</si>
  <si>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</si>
  <si>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</si>
  <si>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</si>
  <si>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</si>
  <si>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</si>
  <si>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</si>
  <si>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</si>
  <si>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</si>
  <si>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</si>
  <si>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</si>
  <si>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</si>
  <si>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</si>
  <si>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</si>
  <si>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</si>
  <si>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</si>
  <si>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</si>
  <si>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</si>
  <si>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</si>
  <si>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</si>
  <si>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</si>
  <si>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</si>
  <si>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</si>
  <si>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</si>
  <si>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</si>
  <si>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</si>
  <si>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</si>
  <si>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</si>
  <si>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</si>
  <si>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</si>
  <si>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</si>
  <si>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</si>
  <si>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</si>
  <si>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</si>
  <si>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</si>
  <si>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</si>
  <si>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</si>
  <si>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</si>
  <si>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</si>
  <si>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</si>
  <si>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</si>
  <si>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</si>
  <si>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</si>
  <si>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</si>
  <si>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</si>
  <si>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</si>
  <si>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</si>
  <si>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</si>
  <si>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</si>
  <si>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</si>
  <si>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</si>
  <si>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</si>
  <si>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</si>
  <si>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</si>
  <si>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</si>
  <si>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</si>
  <si>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</si>
  <si>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</si>
  <si>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</si>
  <si>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</si>
  <si>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</si>
  <si>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</si>
  <si>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</si>
  <si>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</si>
  <si>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</si>
  <si>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</si>
  <si>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</si>
  <si>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</si>
  <si>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</si>
  <si>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</si>
  <si>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</si>
  <si>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</si>
  <si>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</si>
  <si>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</si>
  <si>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</si>
  <si>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</si>
  <si>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</si>
  <si>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</si>
  <si>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</si>
  <si>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</si>
  <si>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</si>
  <si>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</si>
  <si>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</si>
  <si>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</si>
  <si>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</si>
  <si>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</si>
  <si>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</si>
  <si>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</si>
  <si>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</si>
  <si>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</si>
  <si>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</si>
  <si>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</si>
  <si>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</si>
  <si>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</si>
  <si>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</si>
  <si>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</si>
  <si>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</si>
  <si>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</si>
  <si>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</si>
  <si>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</si>
  <si>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</si>
  <si>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</si>
  <si>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</si>
  <si>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</si>
  <si>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</si>
  <si>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</si>
  <si>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</si>
  <si>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</si>
  <si>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</si>
  <si>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</si>
  <si>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</si>
  <si>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</si>
  <si>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</si>
  <si>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</si>
  <si>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</si>
  <si>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</si>
  <si>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</si>
  <si>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</si>
  <si>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</si>
  <si>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</si>
  <si>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</si>
  <si>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</si>
  <si>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</si>
  <si>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</si>
  <si>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</si>
  <si>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</si>
  <si>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</si>
  <si>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</si>
  <si>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</si>
  <si>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</si>
  <si>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</si>
  <si>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</si>
  <si>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</si>
  <si>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</si>
  <si>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</si>
  <si>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</si>
  <si>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</si>
  <si>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</si>
  <si>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</si>
  <si>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</si>
  <si>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</si>
  <si>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</si>
  <si>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</si>
  <si>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</si>
  <si>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</si>
  <si>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</si>
  <si>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</si>
  <si>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</si>
  <si>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</si>
  <si>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</si>
  <si>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</si>
  <si>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</si>
  <si>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</si>
  <si>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</si>
  <si>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</si>
  <si>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</si>
  <si>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</si>
  <si>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</si>
  <si>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</si>
  <si>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</si>
  <si>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</si>
  <si>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</si>
  <si>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</si>
  <si>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</si>
  <si>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</si>
  <si>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</si>
  <si>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</si>
  <si>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</si>
  <si>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</si>
  <si>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</si>
  <si>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</si>
  <si>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</si>
  <si>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</si>
  <si>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</si>
  <si>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</si>
  <si>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</si>
  <si>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</si>
  <si>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</si>
  <si>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</si>
  <si>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</si>
  <si>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</si>
  <si>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</si>
  <si>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</si>
  <si>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</si>
  <si>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</si>
  <si>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</si>
  <si>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</si>
  <si>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</si>
  <si>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</si>
  <si>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</si>
  <si>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</si>
  <si>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</si>
  <si>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</si>
  <si>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</si>
  <si>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</si>
  <si>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</si>
  <si>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</si>
  <si>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</si>
  <si>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</si>
  <si>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</si>
  <si>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</si>
  <si>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</si>
  <si>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</si>
  <si>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</si>
  <si>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</si>
  <si>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</si>
  <si>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</si>
  <si>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</si>
  <si>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</si>
  <si>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</si>
  <si>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</si>
  <si>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</si>
  <si>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</si>
  <si>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</si>
  <si>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</si>
  <si>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</si>
  <si>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</si>
  <si>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</si>
  <si>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</si>
  <si>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</si>
  <si>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</si>
  <si>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</si>
  <si>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</si>
  <si>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</si>
  <si>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</si>
  <si>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</si>
  <si>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</si>
  <si>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</si>
  <si>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</si>
  <si>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</si>
  <si>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</si>
  <si>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</si>
  <si>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</si>
  <si>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</si>
  <si>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</si>
  <si>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</si>
  <si>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</si>
  <si>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</si>
  <si>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</si>
  <si>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</si>
  <si>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</si>
  <si>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</si>
  <si>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</si>
  <si>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</si>
  <si>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</si>
  <si>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</si>
  <si>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</si>
  <si>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</si>
  <si>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</si>
  <si>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</si>
  <si>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</si>
  <si>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</si>
  <si>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</si>
  <si>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</si>
  <si>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</si>
  <si>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</si>
  <si>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</si>
  <si>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</si>
  <si>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</si>
  <si>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</si>
  <si>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</si>
  <si>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</si>
  <si>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</si>
  <si>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</si>
  <si>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</si>
  <si>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72040</t>
  </si>
  <si>
    <t>MEEUWEN-GRUITRODE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</si>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</sst>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132283.20356613793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132283.20356613793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26476.942423425869</c:v>
                </c:pt>
                <c:pt idx="1">
                  <c:v>2595.2003691261493</c:v>
                </c:pt>
                <c:pt idx="2">
                  <c:v>139.9338538763451</c:v>
                </c:pt>
                <c:pt idx="3">
                  <c:v>3319.0184274938497</c:v>
                </c:pt>
                <c:pt idx="4">
                  <c:v>2851.8110659546742</c:v>
                </c:pt>
                <c:pt idx="5">
                  <c:v>24894.042963464428</c:v>
                </c:pt>
                <c:pt idx="6">
                  <c:v>514.44112107509216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26476.942423425869</c:v>
                </c:pt>
                <c:pt idx="1">
                  <c:v>2595.2003691261493</c:v>
                </c:pt>
                <c:pt idx="2">
                  <c:v>139.9338538763451</c:v>
                </c:pt>
                <c:pt idx="3">
                  <c:v>3319.0184274938497</c:v>
                </c:pt>
                <c:pt idx="4">
                  <c:v>2851.8110659546742</c:v>
                </c:pt>
                <c:pt idx="5">
                  <c:v>24894.042963464428</c:v>
                </c:pt>
                <c:pt idx="6">
                  <c:v>514.44112107509216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72040</v>
      </c>
      <c r="B6" s="398"/>
      <c r="C6" s="399"/>
    </row>
    <row r="7" spans="1:7" s="396" customFormat="1" ht="15.75" customHeight="1">
      <c r="A7" s="400" t="str">
        <f>txtMunicipality</f>
        <v>MEEUWEN-GRUITRODE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5047</v>
      </c>
      <c r="C9" s="338">
        <v>5045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3718</v>
      </c>
    </row>
    <row r="15" spans="1:6">
      <c r="A15" s="1212" t="s">
        <v>184</v>
      </c>
      <c r="B15" s="335">
        <v>2229</v>
      </c>
    </row>
    <row r="16" spans="1:6">
      <c r="A16" s="1212" t="s">
        <v>6</v>
      </c>
      <c r="B16" s="335">
        <v>1640</v>
      </c>
    </row>
    <row r="17" spans="1:6">
      <c r="A17" s="1212" t="s">
        <v>7</v>
      </c>
      <c r="B17" s="335">
        <v>531</v>
      </c>
    </row>
    <row r="18" spans="1:6">
      <c r="A18" s="1212" t="s">
        <v>8</v>
      </c>
      <c r="B18" s="335">
        <v>1371</v>
      </c>
    </row>
    <row r="19" spans="1:6">
      <c r="A19" s="1212" t="s">
        <v>9</v>
      </c>
      <c r="B19" s="335">
        <v>1247</v>
      </c>
    </row>
    <row r="20" spans="1:6">
      <c r="A20" s="1212" t="s">
        <v>10</v>
      </c>
      <c r="B20" s="335">
        <v>929</v>
      </c>
    </row>
    <row r="21" spans="1:6">
      <c r="A21" s="1212" t="s">
        <v>11</v>
      </c>
      <c r="B21" s="335">
        <v>14097</v>
      </c>
    </row>
    <row r="22" spans="1:6">
      <c r="A22" s="1212" t="s">
        <v>12</v>
      </c>
      <c r="B22" s="335">
        <v>20013</v>
      </c>
    </row>
    <row r="23" spans="1:6">
      <c r="A23" s="1212" t="s">
        <v>13</v>
      </c>
      <c r="B23" s="335">
        <v>293</v>
      </c>
    </row>
    <row r="24" spans="1:6">
      <c r="A24" s="1212" t="s">
        <v>14</v>
      </c>
      <c r="B24" s="335">
        <v>17</v>
      </c>
    </row>
    <row r="25" spans="1:6">
      <c r="A25" s="1212" t="s">
        <v>15</v>
      </c>
      <c r="B25" s="335">
        <v>1803</v>
      </c>
    </row>
    <row r="26" spans="1:6">
      <c r="A26" s="1212" t="s">
        <v>16</v>
      </c>
      <c r="B26" s="335">
        <v>87</v>
      </c>
    </row>
    <row r="27" spans="1:6">
      <c r="A27" s="1212" t="s">
        <v>17</v>
      </c>
      <c r="B27" s="335">
        <v>13</v>
      </c>
    </row>
    <row r="28" spans="1:6" s="341" customFormat="1">
      <c r="A28" s="1213" t="s">
        <v>18</v>
      </c>
      <c r="B28" s="1213">
        <v>118831</v>
      </c>
    </row>
    <row r="29" spans="1:6">
      <c r="A29" s="1213" t="s">
        <v>836</v>
      </c>
      <c r="B29" s="1213">
        <v>410</v>
      </c>
      <c r="C29" s="341"/>
      <c r="D29" s="341"/>
      <c r="E29" s="341"/>
      <c r="F29" s="341"/>
    </row>
    <row r="30" spans="1:6">
      <c r="A30" s="1208" t="s">
        <v>837</v>
      </c>
      <c r="B30" s="1208">
        <v>49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17</v>
      </c>
      <c r="F36" s="335">
        <v>48445</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1602</v>
      </c>
      <c r="D39" s="335">
        <v>27098324</v>
      </c>
      <c r="E39" s="335">
        <v>4987</v>
      </c>
      <c r="F39" s="335">
        <v>19960650</v>
      </c>
    </row>
    <row r="40" spans="1:6">
      <c r="A40" s="1212" t="s">
        <v>30</v>
      </c>
      <c r="B40" s="1212" t="s">
        <v>29</v>
      </c>
      <c r="C40" s="335">
        <v>0</v>
      </c>
      <c r="D40" s="335">
        <v>0</v>
      </c>
      <c r="E40" s="335">
        <v>0</v>
      </c>
      <c r="F40" s="335">
        <v>0</v>
      </c>
    </row>
    <row r="41" spans="1:6">
      <c r="A41" s="1212" t="s">
        <v>32</v>
      </c>
      <c r="B41" s="1212" t="s">
        <v>33</v>
      </c>
      <c r="C41" s="335">
        <v>27</v>
      </c>
      <c r="D41" s="335">
        <v>1529458</v>
      </c>
      <c r="E41" s="335">
        <v>100</v>
      </c>
      <c r="F41" s="335">
        <v>2310095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23</v>
      </c>
      <c r="F44" s="335">
        <v>3439716</v>
      </c>
    </row>
    <row r="45" spans="1:6">
      <c r="A45" s="1212" t="s">
        <v>32</v>
      </c>
      <c r="B45" s="1212" t="s">
        <v>37</v>
      </c>
      <c r="C45" s="335">
        <v>3</v>
      </c>
      <c r="D45" s="335">
        <v>583942</v>
      </c>
      <c r="E45" s="335">
        <v>4</v>
      </c>
      <c r="F45" s="335">
        <v>45193</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5</v>
      </c>
      <c r="D48" s="335">
        <v>142073</v>
      </c>
      <c r="E48" s="335">
        <v>0</v>
      </c>
      <c r="F48" s="335">
        <v>0</v>
      </c>
    </row>
    <row r="49" spans="1:6">
      <c r="A49" s="1212" t="s">
        <v>32</v>
      </c>
      <c r="B49" s="1212" t="s">
        <v>40</v>
      </c>
      <c r="C49" s="335">
        <v>0</v>
      </c>
      <c r="D49" s="335">
        <v>0</v>
      </c>
      <c r="E49" s="335">
        <v>5</v>
      </c>
      <c r="F49" s="335">
        <v>79519</v>
      </c>
    </row>
    <row r="50" spans="1:6">
      <c r="A50" s="1212" t="s">
        <v>32</v>
      </c>
      <c r="B50" s="1212" t="s">
        <v>41</v>
      </c>
      <c r="C50" s="335">
        <v>0</v>
      </c>
      <c r="D50" s="335">
        <v>0</v>
      </c>
      <c r="E50" s="335">
        <v>7</v>
      </c>
      <c r="F50" s="335">
        <v>839859</v>
      </c>
    </row>
    <row r="51" spans="1:6">
      <c r="A51" s="1212" t="s">
        <v>42</v>
      </c>
      <c r="B51" s="1212" t="s">
        <v>43</v>
      </c>
      <c r="C51" s="335">
        <v>0</v>
      </c>
      <c r="D51" s="335">
        <v>0</v>
      </c>
      <c r="E51" s="335">
        <v>117</v>
      </c>
      <c r="F51" s="335">
        <v>2841543</v>
      </c>
    </row>
    <row r="52" spans="1:6">
      <c r="A52" s="1212" t="s">
        <v>42</v>
      </c>
      <c r="B52" s="1212" t="s">
        <v>29</v>
      </c>
      <c r="C52" s="335">
        <v>2</v>
      </c>
      <c r="D52" s="335">
        <v>13704</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90</v>
      </c>
      <c r="F54" s="335">
        <v>737114</v>
      </c>
    </row>
    <row r="55" spans="1:6">
      <c r="A55" s="1212" t="s">
        <v>46</v>
      </c>
      <c r="B55" s="1212" t="s">
        <v>29</v>
      </c>
      <c r="C55" s="335">
        <v>0</v>
      </c>
      <c r="D55" s="335">
        <v>0</v>
      </c>
      <c r="E55" s="335">
        <v>0</v>
      </c>
      <c r="F55" s="335">
        <v>0</v>
      </c>
    </row>
    <row r="56" spans="1:6">
      <c r="A56" s="1212" t="s">
        <v>48</v>
      </c>
      <c r="B56" s="1212" t="s">
        <v>29</v>
      </c>
      <c r="C56" s="335">
        <v>56</v>
      </c>
      <c r="D56" s="335">
        <v>3084336</v>
      </c>
      <c r="E56" s="335">
        <v>62</v>
      </c>
      <c r="F56" s="335">
        <v>287576</v>
      </c>
    </row>
    <row r="57" spans="1:6">
      <c r="A57" s="1212" t="s">
        <v>49</v>
      </c>
      <c r="B57" s="1212" t="s">
        <v>50</v>
      </c>
      <c r="C57" s="335">
        <v>12</v>
      </c>
      <c r="D57" s="335">
        <v>434714</v>
      </c>
      <c r="E57" s="335">
        <v>63</v>
      </c>
      <c r="F57" s="335">
        <v>619818</v>
      </c>
    </row>
    <row r="58" spans="1:6">
      <c r="A58" s="1212" t="s">
        <v>49</v>
      </c>
      <c r="B58" s="1212" t="s">
        <v>51</v>
      </c>
      <c r="C58" s="335">
        <v>3</v>
      </c>
      <c r="D58" s="335">
        <v>97227</v>
      </c>
      <c r="E58" s="335">
        <v>17</v>
      </c>
      <c r="F58" s="335">
        <v>516707</v>
      </c>
    </row>
    <row r="59" spans="1:6">
      <c r="A59" s="1212" t="s">
        <v>49</v>
      </c>
      <c r="B59" s="1212" t="s">
        <v>52</v>
      </c>
      <c r="C59" s="335">
        <v>35</v>
      </c>
      <c r="D59" s="335">
        <v>1298538</v>
      </c>
      <c r="E59" s="335">
        <v>131</v>
      </c>
      <c r="F59" s="335">
        <v>3155434</v>
      </c>
    </row>
    <row r="60" spans="1:6">
      <c r="A60" s="1212" t="s">
        <v>49</v>
      </c>
      <c r="B60" s="1212" t="s">
        <v>53</v>
      </c>
      <c r="C60" s="335">
        <v>14</v>
      </c>
      <c r="D60" s="335">
        <v>696960</v>
      </c>
      <c r="E60" s="335">
        <v>46</v>
      </c>
      <c r="F60" s="335">
        <v>1235092</v>
      </c>
    </row>
    <row r="61" spans="1:6">
      <c r="A61" s="1212" t="s">
        <v>49</v>
      </c>
      <c r="B61" s="1212" t="s">
        <v>54</v>
      </c>
      <c r="C61" s="335">
        <v>35</v>
      </c>
      <c r="D61" s="335">
        <v>666049</v>
      </c>
      <c r="E61" s="335">
        <v>213</v>
      </c>
      <c r="F61" s="335">
        <v>2062630</v>
      </c>
    </row>
    <row r="62" spans="1:6">
      <c r="A62" s="1212" t="s">
        <v>49</v>
      </c>
      <c r="B62" s="1212" t="s">
        <v>55</v>
      </c>
      <c r="C62" s="335">
        <v>4</v>
      </c>
      <c r="D62" s="335">
        <v>337699</v>
      </c>
      <c r="E62" s="335">
        <v>24</v>
      </c>
      <c r="F62" s="335">
        <v>299296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2</v>
      </c>
      <c r="D65" s="335">
        <v>37175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37162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85745191</v>
      </c>
      <c r="E73" s="335">
        <v>89293371.992151275</v>
      </c>
    </row>
    <row r="74" spans="1:6">
      <c r="A74" s="1212" t="s">
        <v>64</v>
      </c>
      <c r="B74" s="1212" t="s">
        <v>727</v>
      </c>
      <c r="C74" s="1212" t="s">
        <v>728</v>
      </c>
      <c r="D74" s="335">
        <v>7910789.6170229306</v>
      </c>
      <c r="E74" s="335">
        <v>8420638.8313384764</v>
      </c>
    </row>
    <row r="75" spans="1:6">
      <c r="A75" s="1212" t="s">
        <v>65</v>
      </c>
      <c r="B75" s="1212" t="s">
        <v>725</v>
      </c>
      <c r="C75" s="1212" t="s">
        <v>729</v>
      </c>
      <c r="D75" s="335">
        <v>27510408</v>
      </c>
      <c r="E75" s="335">
        <v>28688130.910375301</v>
      </c>
    </row>
    <row r="76" spans="1:6">
      <c r="A76" s="1212" t="s">
        <v>65</v>
      </c>
      <c r="B76" s="1212" t="s">
        <v>727</v>
      </c>
      <c r="C76" s="1212" t="s">
        <v>730</v>
      </c>
      <c r="D76" s="335">
        <v>489995.61702293047</v>
      </c>
      <c r="E76" s="335">
        <v>548855.50198795914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531660.76595413906</v>
      </c>
      <c r="C83" s="335">
        <v>510466.7578821858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4638.6691807106754</v>
      </c>
    </row>
    <row r="92" spans="1:6">
      <c r="A92" s="1208" t="s">
        <v>69</v>
      </c>
      <c r="B92" s="338">
        <v>1354.1302422743213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252</v>
      </c>
    </row>
    <row r="98" spans="1:6">
      <c r="A98" s="1212" t="s">
        <v>72</v>
      </c>
      <c r="B98" s="335">
        <v>2</v>
      </c>
    </row>
    <row r="99" spans="1:6">
      <c r="A99" s="1212" t="s">
        <v>73</v>
      </c>
      <c r="B99" s="335">
        <v>29</v>
      </c>
    </row>
    <row r="100" spans="1:6">
      <c r="A100" s="1212" t="s">
        <v>74</v>
      </c>
      <c r="B100" s="335">
        <v>157</v>
      </c>
    </row>
    <row r="101" spans="1:6">
      <c r="A101" s="1212" t="s">
        <v>75</v>
      </c>
      <c r="B101" s="335">
        <v>59</v>
      </c>
    </row>
    <row r="102" spans="1:6">
      <c r="A102" s="1212" t="s">
        <v>76</v>
      </c>
      <c r="B102" s="335">
        <v>51</v>
      </c>
    </row>
    <row r="103" spans="1:6">
      <c r="A103" s="1212" t="s">
        <v>77</v>
      </c>
      <c r="B103" s="335">
        <v>84</v>
      </c>
    </row>
    <row r="104" spans="1:6">
      <c r="A104" s="1212" t="s">
        <v>78</v>
      </c>
      <c r="B104" s="335">
        <v>3633</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35</v>
      </c>
      <c r="C123" s="335">
        <v>35</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197</v>
      </c>
    </row>
    <row r="130" spans="1:6">
      <c r="A130" s="1212" t="s">
        <v>295</v>
      </c>
      <c r="B130" s="335">
        <v>0</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42787.519383321938</v>
      </c>
      <c r="C3" s="43" t="s">
        <v>170</v>
      </c>
      <c r="D3" s="43"/>
      <c r="E3" s="156"/>
      <c r="F3" s="43"/>
      <c r="G3" s="43"/>
      <c r="H3" s="43"/>
      <c r="I3" s="43"/>
      <c r="J3" s="43"/>
      <c r="K3" s="96"/>
    </row>
    <row r="4" spans="1:11">
      <c r="A4" s="366" t="s">
        <v>171</v>
      </c>
      <c r="B4" s="49">
        <f>IF(ISERROR('SEAP template'!B69),0,'SEAP template'!B69)</f>
        <v>6032.8119229849963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0.18984017923461649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737.11400000000003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737.11400000000003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0.18984017923461649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139.9338538763451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19960.650000000001</v>
      </c>
      <c r="C5" s="17">
        <f>IF(ISERROR('Eigen informatie GS &amp; warmtenet'!B57),0,'Eigen informatie GS &amp; warmtenet'!B57)</f>
        <v>0</v>
      </c>
      <c r="D5" s="30">
        <f>(SUM(HH_hh_gas_kWh,HH_rest_gas_kWh)/1000)*0.902</f>
        <v>24442.688248000002</v>
      </c>
      <c r="E5" s="17">
        <f>B46*B57</f>
        <v>2397.4415407806691</v>
      </c>
      <c r="F5" s="17">
        <f>B51*B62</f>
        <v>61143.674176992514</v>
      </c>
      <c r="G5" s="18"/>
      <c r="H5" s="17"/>
      <c r="I5" s="17"/>
      <c r="J5" s="17">
        <f>B50*B61+C50*C61</f>
        <v>0</v>
      </c>
      <c r="K5" s="17"/>
      <c r="L5" s="17"/>
      <c r="M5" s="17"/>
      <c r="N5" s="17">
        <f>B48*B59+C48*C59</f>
        <v>18285.593752987421</v>
      </c>
      <c r="O5" s="17">
        <f>B69*B70*B71</f>
        <v>365.82000000000005</v>
      </c>
      <c r="P5" s="17">
        <f>B77*B78*B79/1000-B77*B78*B79/1000/B80</f>
        <v>1048.6666666666667</v>
      </c>
    </row>
    <row r="6" spans="1:16">
      <c r="A6" s="16" t="s">
        <v>634</v>
      </c>
      <c r="B6" s="831">
        <f>kWh_PV_kleiner_dan_10kW</f>
        <v>4638.6691807106754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24599.319180710678</v>
      </c>
      <c r="C8" s="21">
        <f>C5</f>
        <v>0</v>
      </c>
      <c r="D8" s="21">
        <f>D5</f>
        <v>24442.688248000002</v>
      </c>
      <c r="E8" s="21">
        <f>E5</f>
        <v>2397.4415407806691</v>
      </c>
      <c r="F8" s="21">
        <f>F5</f>
        <v>61143.674176992514</v>
      </c>
      <c r="G8" s="21"/>
      <c r="H8" s="21"/>
      <c r="I8" s="21"/>
      <c r="J8" s="21">
        <f>J5</f>
        <v>0</v>
      </c>
      <c r="K8" s="21"/>
      <c r="L8" s="21">
        <f>L5</f>
        <v>0</v>
      </c>
      <c r="M8" s="21">
        <f>M5</f>
        <v>0</v>
      </c>
      <c r="N8" s="21">
        <f>N5</f>
        <v>18285.593752987421</v>
      </c>
      <c r="O8" s="21">
        <f>O5</f>
        <v>365.82000000000005</v>
      </c>
      <c r="P8" s="21">
        <f>P5</f>
        <v>1048.6666666666667</v>
      </c>
    </row>
    <row r="9" spans="1:16">
      <c r="B9" s="19"/>
      <c r="C9" s="19"/>
      <c r="D9" s="261"/>
      <c r="E9" s="19"/>
      <c r="F9" s="19"/>
      <c r="G9" s="19"/>
      <c r="H9" s="19"/>
      <c r="I9" s="19"/>
      <c r="J9" s="19"/>
      <c r="K9" s="19"/>
      <c r="L9" s="19"/>
      <c r="M9" s="19"/>
      <c r="N9" s="19"/>
      <c r="O9" s="19"/>
      <c r="P9" s="19"/>
    </row>
    <row r="10" spans="1:16">
      <c r="A10" s="24" t="s">
        <v>214</v>
      </c>
      <c r="B10" s="25">
        <f ca="1">'EF ele_warmte'!B12</f>
        <v>0.18984017923461649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4669.9391623156544</v>
      </c>
      <c r="C12" s="23">
        <f ca="1">C10*C8</f>
        <v>0</v>
      </c>
      <c r="D12" s="23">
        <f>D8*D10</f>
        <v>4937.4230260960012</v>
      </c>
      <c r="E12" s="23">
        <f>E10*E8</f>
        <v>544.21922975721191</v>
      </c>
      <c r="F12" s="23">
        <f>F10*F8</f>
        <v>16325.361005257002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v>
      </c>
      <c r="C18" s="168" t="s">
        <v>111</v>
      </c>
      <c r="D18" s="230"/>
      <c r="E18" s="15"/>
    </row>
    <row r="19" spans="1:7">
      <c r="A19" s="173" t="s">
        <v>72</v>
      </c>
      <c r="B19" s="37">
        <f>aantalw2001_ander</f>
        <v>2</v>
      </c>
      <c r="C19" s="168" t="s">
        <v>111</v>
      </c>
      <c r="D19" s="231"/>
      <c r="E19" s="15"/>
    </row>
    <row r="20" spans="1:7">
      <c r="A20" s="173" t="s">
        <v>73</v>
      </c>
      <c r="B20" s="37">
        <f>aantalw2001_propaan</f>
        <v>29</v>
      </c>
      <c r="C20" s="169">
        <f>IF(ISERROR(B20/SUM($B$20,$B$21,$B$22)*100),0,B20/SUM($B$20,$B$21,$B$22)*100)</f>
        <v>11.836734693877551</v>
      </c>
      <c r="D20" s="231"/>
      <c r="E20" s="15"/>
    </row>
    <row r="21" spans="1:7">
      <c r="A21" s="173" t="s">
        <v>74</v>
      </c>
      <c r="B21" s="37">
        <f>aantalw2001_elektriciteit</f>
        <v>157</v>
      </c>
      <c r="C21" s="169">
        <f>IF(ISERROR(B21/SUM($B$20,$B$21,$B$22)*100),0,B21/SUM($B$20,$B$21,$B$22)*100)</f>
        <v>64.08163265306122</v>
      </c>
      <c r="D21" s="231"/>
      <c r="E21" s="15"/>
    </row>
    <row r="22" spans="1:7">
      <c r="A22" s="173" t="s">
        <v>75</v>
      </c>
      <c r="B22" s="37">
        <f>aantalw2001_hout</f>
        <v>59</v>
      </c>
      <c r="C22" s="169">
        <f>IF(ISERROR(B22/SUM($B$20,$B$21,$B$22)*100),0,B22/SUM($B$20,$B$21,$B$22)*100)</f>
        <v>24.081632653061224</v>
      </c>
      <c r="D22" s="231"/>
      <c r="E22" s="15"/>
    </row>
    <row r="23" spans="1:7">
      <c r="A23" s="173" t="s">
        <v>76</v>
      </c>
      <c r="B23" s="37">
        <f>aantalw2001_niet_gespec</f>
        <v>51</v>
      </c>
      <c r="C23" s="168" t="s">
        <v>111</v>
      </c>
      <c r="D23" s="230"/>
      <c r="E23" s="15"/>
    </row>
    <row r="24" spans="1:7">
      <c r="A24" s="173" t="s">
        <v>77</v>
      </c>
      <c r="B24" s="37">
        <f>aantalw2001_steenkool</f>
        <v>84</v>
      </c>
      <c r="C24" s="168" t="s">
        <v>111</v>
      </c>
      <c r="D24" s="231"/>
      <c r="E24" s="15"/>
    </row>
    <row r="25" spans="1:7">
      <c r="A25" s="173" t="s">
        <v>78</v>
      </c>
      <c r="B25" s="37">
        <f>aantalw2001_stookolie</f>
        <v>3633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5047</v>
      </c>
      <c r="C28" s="36"/>
      <c r="D28" s="230"/>
    </row>
    <row r="29" spans="1:7" s="15" customFormat="1">
      <c r="A29" s="232" t="s">
        <v>746</v>
      </c>
      <c r="B29" s="37">
        <f>SUM(HH_hh_gas_aantal,HH_rest_gas_aantal)</f>
        <v>1602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1602</v>
      </c>
      <c r="C32" s="169">
        <f>IF(ISERROR(B32/SUM($B$32,$B$34,$B$35,$B$36,$B$38,$B$39)*100),0,B32/SUM($B$32,$B$34,$B$35,$B$36,$B$38,$B$39)*100)</f>
        <v>32.091346153846153</v>
      </c>
      <c r="D32" s="235"/>
      <c r="G32" s="15"/>
    </row>
    <row r="33" spans="1:7">
      <c r="A33" s="173" t="s">
        <v>72</v>
      </c>
      <c r="B33" s="34" t="s">
        <v>111</v>
      </c>
      <c r="C33" s="169"/>
      <c r="D33" s="235"/>
      <c r="G33" s="15"/>
    </row>
    <row r="34" spans="1:7">
      <c r="A34" s="173" t="s">
        <v>73</v>
      </c>
      <c r="B34" s="33">
        <f>IF((($B$28-$B$32-$B$39-$B$77-$B$38)*C20/100)&lt;0,0,($B$28-$B$32-$B$39-$B$77-$B$38)*C20/100)</f>
        <v>115.0530612244898</v>
      </c>
      <c r="C34" s="169">
        <f>IF(ISERROR(B34/SUM($B$32,$B$34,$B$35,$B$36,$B$38,$B$39)*100),0,B34/SUM($B$32,$B$34,$B$35,$B$36,$B$38,$B$39)*100)</f>
        <v>2.3047488226059656</v>
      </c>
      <c r="D34" s="235"/>
      <c r="G34" s="15"/>
    </row>
    <row r="35" spans="1:7">
      <c r="A35" s="173" t="s">
        <v>74</v>
      </c>
      <c r="B35" s="33">
        <f>IF((($B$28-$B$32-$B$39-$B$77-$B$38)*C21/100)&lt;0,0,($B$28-$B$32-$B$39-$B$77-$B$38)*C21/100)</f>
        <v>622.87346938775499</v>
      </c>
      <c r="C35" s="169">
        <f>IF(ISERROR(B35/SUM($B$32,$B$34,$B$35,$B$36,$B$38,$B$39)*100),0,B35/SUM($B$32,$B$34,$B$35,$B$36,$B$38,$B$39)*100)</f>
        <v>12.477433281004707</v>
      </c>
      <c r="D35" s="235"/>
      <c r="G35" s="15"/>
    </row>
    <row r="36" spans="1:7">
      <c r="A36" s="173" t="s">
        <v>75</v>
      </c>
      <c r="B36" s="33">
        <f>IF((($B$28-$B$32-$B$39-$B$77-$B$38)*C22/100)&lt;0,0,($B$28-$B$32-$B$39-$B$77-$B$38)*C22/100)</f>
        <v>234.0734693877551</v>
      </c>
      <c r="C36" s="169">
        <f>IF(ISERROR(B36/SUM($B$32,$B$34,$B$35,$B$36,$B$38,$B$39)*100),0,B36/SUM($B$32,$B$34,$B$35,$B$36,$B$38,$B$39)*100)</f>
        <v>4.6889717425431705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2418</v>
      </c>
      <c r="C39" s="169">
        <f>IF(ISERROR(B39/SUM($B$32,$B$34,$B$35,$B$36,$B$38,$B$39)*100),0,B39/SUM($B$32,$B$34,$B$35,$B$36,$B$38,$B$39)*100)</f>
        <v>48.4375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1602</v>
      </c>
      <c r="C44" s="34" t="s">
        <v>111</v>
      </c>
      <c r="D44" s="176"/>
    </row>
    <row r="45" spans="1:7">
      <c r="A45" s="173" t="s">
        <v>72</v>
      </c>
      <c r="B45" s="33" t="str">
        <f t="shared" si="0"/>
        <v>-</v>
      </c>
      <c r="C45" s="34" t="s">
        <v>111</v>
      </c>
      <c r="D45" s="176"/>
    </row>
    <row r="46" spans="1:7">
      <c r="A46" s="173" t="s">
        <v>73</v>
      </c>
      <c r="B46" s="33">
        <f t="shared" si="0"/>
        <v>115.0530612244898</v>
      </c>
      <c r="C46" s="34" t="s">
        <v>111</v>
      </c>
      <c r="D46" s="176"/>
    </row>
    <row r="47" spans="1:7">
      <c r="A47" s="173" t="s">
        <v>74</v>
      </c>
      <c r="B47" s="33">
        <f t="shared" si="0"/>
        <v>622.87346938775499</v>
      </c>
      <c r="C47" s="34" t="s">
        <v>111</v>
      </c>
      <c r="D47" s="176"/>
    </row>
    <row r="48" spans="1:7">
      <c r="A48" s="173" t="s">
        <v>75</v>
      </c>
      <c r="B48" s="33">
        <f t="shared" si="0"/>
        <v>234.0734693877551</v>
      </c>
      <c r="C48" s="33">
        <f>B48*10</f>
        <v>2340.7346938775509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7888.9770000000017</v>
      </c>
      <c r="C5" s="17">
        <f>IF(ISERROR('Eigen informatie GS &amp; warmtenet'!B58),0,'Eigen informatie GS &amp; warmtenet'!B58)</f>
        <v>0</v>
      </c>
      <c r="D5" s="30">
        <f>SUM(D6:D12)</f>
        <v>3185.130674</v>
      </c>
      <c r="E5" s="17">
        <f>SUM(E6:E12)</f>
        <v>126.74738816801892</v>
      </c>
      <c r="F5" s="17">
        <f>SUM(F6:F12)</f>
        <v>1593.211641221877</v>
      </c>
      <c r="G5" s="18"/>
      <c r="H5" s="17"/>
      <c r="I5" s="17"/>
      <c r="J5" s="17">
        <f>SUM(J6:J12)</f>
        <v>0</v>
      </c>
      <c r="K5" s="17"/>
      <c r="L5" s="17"/>
      <c r="M5" s="17"/>
      <c r="N5" s="17">
        <f>SUM(N6:N12)</f>
        <v>447.68523664468876</v>
      </c>
      <c r="O5" s="17">
        <f>B38*B39*B40</f>
        <v>0</v>
      </c>
      <c r="P5" s="17">
        <f>B46*B47*B48/1000-B46*B47*B48/1000/B49</f>
        <v>19.066666666666666</v>
      </c>
      <c r="R5" s="32"/>
    </row>
    <row r="6" spans="1:18">
      <c r="A6" s="32" t="s">
        <v>54</v>
      </c>
      <c r="B6" s="37">
        <f>B26</f>
        <v>2062.63</v>
      </c>
      <c r="C6" s="33"/>
      <c r="D6" s="37">
        <f>IF(ISERROR(TER_kantoor_gas_kWh/1000),0,TER_kantoor_gas_kWh/1000)*0.902</f>
        <v>600.77619800000002</v>
      </c>
      <c r="E6" s="33">
        <f>$C$26*'E Balans VL '!I12/100/3.6*1000000</f>
        <v>8.0137542342143391</v>
      </c>
      <c r="F6" s="33">
        <f>$C$26*('E Balans VL '!L12+'E Balans VL '!N12)/100/3.6*1000000</f>
        <v>313.70725456334964</v>
      </c>
      <c r="G6" s="34"/>
      <c r="H6" s="33"/>
      <c r="I6" s="33"/>
      <c r="J6" s="33">
        <f>$C$26*('E Balans VL '!D12+'E Balans VL '!E12)/100/3.6*1000000</f>
        <v>0</v>
      </c>
      <c r="K6" s="33"/>
      <c r="L6" s="33"/>
      <c r="M6" s="33"/>
      <c r="N6" s="33">
        <f>$C$26*'E Balans VL '!Y12/100/3.6*1000000</f>
        <v>1.1367562269887568</v>
      </c>
      <c r="O6" s="33"/>
      <c r="P6" s="33"/>
      <c r="R6" s="32"/>
    </row>
    <row r="7" spans="1:18">
      <c r="A7" s="32" t="s">
        <v>53</v>
      </c>
      <c r="B7" s="37">
        <f t="shared" ref="B7:B12" si="0">B27</f>
        <v>1235.0920000000001</v>
      </c>
      <c r="C7" s="33"/>
      <c r="D7" s="37">
        <f>IF(ISERROR(TER_horeca_gas_kWh/1000),0,TER_horeca_gas_kWh/1000)*0.902</f>
        <v>628.6579200000001</v>
      </c>
      <c r="E7" s="33">
        <f>$C$27*'E Balans VL '!I9/100/3.6*1000000</f>
        <v>69.573062568890961</v>
      </c>
      <c r="F7" s="33">
        <f>$C$27*('E Balans VL '!L9+'E Balans VL '!N9)/100/3.6*1000000</f>
        <v>356.1265893514414</v>
      </c>
      <c r="G7" s="34"/>
      <c r="H7" s="33"/>
      <c r="I7" s="33"/>
      <c r="J7" s="33">
        <f>$C$27*('E Balans VL '!D9+'E Balans VL '!E9)/100/3.6*1000000</f>
        <v>0</v>
      </c>
      <c r="K7" s="33"/>
      <c r="L7" s="33"/>
      <c r="M7" s="33"/>
      <c r="N7" s="33">
        <f>$C$27*'E Balans VL '!Y9/100/3.6*1000000</f>
        <v>0.34100248305810477</v>
      </c>
      <c r="O7" s="33"/>
      <c r="P7" s="33"/>
      <c r="R7" s="32"/>
    </row>
    <row r="8" spans="1:18">
      <c r="A8" s="6" t="s">
        <v>52</v>
      </c>
      <c r="B8" s="37">
        <f t="shared" si="0"/>
        <v>3155.4340000000002</v>
      </c>
      <c r="C8" s="33"/>
      <c r="D8" s="37">
        <f>IF(ISERROR(TER_handel_gas_kWh/1000),0,TER_handel_gas_kWh/1000)*0.902</f>
        <v>1171.2812759999999</v>
      </c>
      <c r="E8" s="33">
        <f>$C$28*'E Balans VL '!I13/100/3.6*1000000</f>
        <v>45.480509262642805</v>
      </c>
      <c r="F8" s="33">
        <f>$C$28*('E Balans VL '!L13+'E Balans VL '!N13)/100/3.6*1000000</f>
        <v>548.17237089916989</v>
      </c>
      <c r="G8" s="34"/>
      <c r="H8" s="33"/>
      <c r="I8" s="33"/>
      <c r="J8" s="33">
        <f>$C$28*('E Balans VL '!D13+'E Balans VL '!E13)/100/3.6*1000000</f>
        <v>0</v>
      </c>
      <c r="K8" s="33"/>
      <c r="L8" s="33"/>
      <c r="M8" s="33"/>
      <c r="N8" s="33">
        <f>$C$28*'E Balans VL '!Y13/100/3.6*1000000</f>
        <v>9.4540315341490988</v>
      </c>
      <c r="O8" s="33"/>
      <c r="P8" s="33"/>
      <c r="R8" s="32"/>
    </row>
    <row r="9" spans="1:18">
      <c r="A9" s="32" t="s">
        <v>51</v>
      </c>
      <c r="B9" s="37">
        <f t="shared" si="0"/>
        <v>516.70699999999999</v>
      </c>
      <c r="C9" s="33"/>
      <c r="D9" s="37">
        <f>IF(ISERROR(TER_gezond_gas_kWh/1000),0,TER_gezond_gas_kWh/1000)*0.902</f>
        <v>87.698754000000008</v>
      </c>
      <c r="E9" s="33">
        <f>$C$29*'E Balans VL '!I10/100/3.6*1000000</f>
        <v>0.55197700153614049</v>
      </c>
      <c r="F9" s="33">
        <f>$C$29*('E Balans VL '!L10+'E Balans VL '!N10)/100/3.6*1000000</f>
        <v>84.290615015000654</v>
      </c>
      <c r="G9" s="34"/>
      <c r="H9" s="33"/>
      <c r="I9" s="33"/>
      <c r="J9" s="33">
        <f>$C$29*('E Balans VL '!D10+'E Balans VL '!E10)/100/3.6*1000000</f>
        <v>0</v>
      </c>
      <c r="K9" s="33"/>
      <c r="L9" s="33"/>
      <c r="M9" s="33"/>
      <c r="N9" s="33">
        <f>$C$29*'E Balans VL '!Y10/100/3.6*1000000</f>
        <v>5.3192037378676922</v>
      </c>
      <c r="O9" s="33"/>
      <c r="P9" s="33"/>
      <c r="R9" s="32"/>
    </row>
    <row r="10" spans="1:18">
      <c r="A10" s="32" t="s">
        <v>50</v>
      </c>
      <c r="B10" s="37">
        <f t="shared" si="0"/>
        <v>619.81799999999998</v>
      </c>
      <c r="C10" s="33"/>
      <c r="D10" s="37">
        <f>IF(ISERROR(TER_ander_gas_kWh/1000),0,TER_ander_gas_kWh/1000)*0.902</f>
        <v>392.11202800000001</v>
      </c>
      <c r="E10" s="33">
        <f>$C$30*'E Balans VL '!I14/100/3.6*1000000</f>
        <v>2.8504487006833545</v>
      </c>
      <c r="F10" s="33">
        <f>$C$30*('E Balans VL '!L14+'E Balans VL '!N14)/100/3.6*1000000</f>
        <v>185.77900541691415</v>
      </c>
      <c r="G10" s="34"/>
      <c r="H10" s="33"/>
      <c r="I10" s="33"/>
      <c r="J10" s="33">
        <f>$C$30*('E Balans VL '!D14+'E Balans VL '!E14)/100/3.6*1000000</f>
        <v>0</v>
      </c>
      <c r="K10" s="33"/>
      <c r="L10" s="33"/>
      <c r="M10" s="33"/>
      <c r="N10" s="33">
        <f>$C$30*'E Balans VL '!Y14/100/3.6*1000000</f>
        <v>431.43424266262508</v>
      </c>
      <c r="O10" s="33"/>
      <c r="P10" s="33"/>
      <c r="R10" s="32"/>
    </row>
    <row r="11" spans="1:18">
      <c r="A11" s="32" t="s">
        <v>55</v>
      </c>
      <c r="B11" s="37">
        <f t="shared" si="0"/>
        <v>299.29599999999999</v>
      </c>
      <c r="C11" s="33"/>
      <c r="D11" s="37">
        <f>IF(ISERROR(TER_onderwijs_gas_kWh/1000),0,TER_onderwijs_gas_kWh/1000)*0.902</f>
        <v>304.60449800000004</v>
      </c>
      <c r="E11" s="33">
        <f>$C$31*'E Balans VL '!I11/100/3.6*1000000</f>
        <v>0.2776364000512872</v>
      </c>
      <c r="F11" s="33">
        <f>$C$31*('E Balans VL '!L11+'E Balans VL '!N11)/100/3.6*1000000</f>
        <v>105.13580597600138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7888.9770000000017</v>
      </c>
      <c r="C16" s="21">
        <f t="shared" ca="1" si="1"/>
        <v>0</v>
      </c>
      <c r="D16" s="21">
        <f t="shared" ca="1" si="1"/>
        <v>3185.130674</v>
      </c>
      <c r="E16" s="21">
        <f t="shared" si="1"/>
        <v>126.74738816801892</v>
      </c>
      <c r="F16" s="21">
        <f t="shared" ca="1" si="1"/>
        <v>1593.211641221877</v>
      </c>
      <c r="G16" s="21">
        <f t="shared" si="1"/>
        <v>0</v>
      </c>
      <c r="H16" s="21">
        <f t="shared" si="1"/>
        <v>0</v>
      </c>
      <c r="I16" s="21">
        <f t="shared" si="1"/>
        <v>0</v>
      </c>
      <c r="J16" s="21">
        <f t="shared" si="1"/>
        <v>0</v>
      </c>
      <c r="K16" s="21">
        <f t="shared" si="1"/>
        <v>0</v>
      </c>
      <c r="L16" s="21">
        <f t="shared" ca="1" si="1"/>
        <v>0</v>
      </c>
      <c r="M16" s="21">
        <f t="shared" si="1"/>
        <v>0</v>
      </c>
      <c r="N16" s="21">
        <f t="shared" ca="1" si="1"/>
        <v>447.68523664468876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0.18984017923461649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1497.6448076577674</v>
      </c>
      <c r="C20" s="23">
        <f t="shared" ref="C20:P20" ca="1" si="2">C16*C18</f>
        <v>0</v>
      </c>
      <c r="D20" s="23">
        <f t="shared" ca="1" si="2"/>
        <v>643.39639614800001</v>
      </c>
      <c r="E20" s="23">
        <f t="shared" si="2"/>
        <v>28.771657114140293</v>
      </c>
      <c r="F20" s="23">
        <f t="shared" ca="1" si="2"/>
        <v>425.38750820624119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2062.63</v>
      </c>
      <c r="C26" s="39">
        <f>IF(ISERROR(B26*3.6/1000000/'E Balans VL '!Z12*100),0,B26*3.6/1000000/'E Balans VL '!Z12*100)</f>
        <v>4.3811282894083592E-2</v>
      </c>
      <c r="D26" s="239" t="s">
        <v>692</v>
      </c>
      <c r="F26" s="6"/>
    </row>
    <row r="27" spans="1:18">
      <c r="A27" s="233" t="s">
        <v>53</v>
      </c>
      <c r="B27" s="33">
        <f>IF(ISERROR(TER_horeca_ele_kWh/1000),0,TER_horeca_ele_kWh/1000)</f>
        <v>1235.0920000000001</v>
      </c>
      <c r="C27" s="39">
        <f>IF(ISERROR(B27*3.6/1000000/'E Balans VL '!Z9*100),0,B27*3.6/1000000/'E Balans VL '!Z9*100)</f>
        <v>9.6035924806982503E-2</v>
      </c>
      <c r="D27" s="239" t="s">
        <v>692</v>
      </c>
      <c r="F27" s="6"/>
    </row>
    <row r="28" spans="1:18">
      <c r="A28" s="173" t="s">
        <v>52</v>
      </c>
      <c r="B28" s="33">
        <f>IF(ISERROR(TER_handel_ele_kWh/1000),0,TER_handel_ele_kWh/1000)</f>
        <v>3155.4340000000002</v>
      </c>
      <c r="C28" s="39">
        <f>IF(ISERROR(B28*3.6/1000000/'E Balans VL '!Z13*100),0,B28*3.6/1000000/'E Balans VL '!Z13*100)</f>
        <v>9.02806803143303E-2</v>
      </c>
      <c r="D28" s="239" t="s">
        <v>692</v>
      </c>
      <c r="F28" s="6"/>
    </row>
    <row r="29" spans="1:18">
      <c r="A29" s="233" t="s">
        <v>51</v>
      </c>
      <c r="B29" s="33">
        <f>IF(ISERROR(TER_gezond_ele_kWh/1000),0,TER_gezond_ele_kWh/1000)</f>
        <v>516.70699999999999</v>
      </c>
      <c r="C29" s="39">
        <f>IF(ISERROR(B29*3.6/1000000/'E Balans VL '!Z10*100),0,B29*3.6/1000000/'E Balans VL '!Z10*100)</f>
        <v>5.6333069830678872E-2</v>
      </c>
      <c r="D29" s="239" t="s">
        <v>692</v>
      </c>
      <c r="F29" s="6"/>
    </row>
    <row r="30" spans="1:18">
      <c r="A30" s="233" t="s">
        <v>50</v>
      </c>
      <c r="B30" s="33">
        <f>IF(ISERROR(TER_ander_ele_kWh/1000),0,TER_ander_ele_kWh/1000)</f>
        <v>619.81799999999998</v>
      </c>
      <c r="C30" s="39">
        <f>IF(ISERROR(B30*3.6/1000000/'E Balans VL '!Z14*100),0,B30*3.6/1000000/'E Balans VL '!Z14*100)</f>
        <v>4.5356875216197419E-2</v>
      </c>
      <c r="D30" s="239" t="s">
        <v>692</v>
      </c>
      <c r="F30" s="6"/>
    </row>
    <row r="31" spans="1:18">
      <c r="A31" s="233" t="s">
        <v>55</v>
      </c>
      <c r="B31" s="33">
        <f>IF(ISERROR(TER_onderwijs_ele_kWh/1000),0,TER_onderwijs_ele_kWh/1000)</f>
        <v>299.29599999999999</v>
      </c>
      <c r="C31" s="39">
        <f>IF(ISERROR(B31*3.6/1000000/'E Balans VL '!Z11*100),0,B31*3.6/1000000/'E Balans VL '!Z11*100)</f>
        <v>6.011382385108105E-2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6714.3820000000005</v>
      </c>
      <c r="C5" s="17">
        <f>IF(ISERROR('Eigen informatie GS &amp; warmtenet'!B59),0,'Eigen informatie GS &amp; warmtenet'!B59)</f>
        <v>0</v>
      </c>
      <c r="D5" s="30">
        <f>SUM(D6:D15)</f>
        <v>2034.4366460000001</v>
      </c>
      <c r="E5" s="17">
        <f>SUM(E6:E15)</f>
        <v>792.95610821219282</v>
      </c>
      <c r="F5" s="17">
        <f>SUM(F6:F15)</f>
        <v>3693.2674986706061</v>
      </c>
      <c r="G5" s="18"/>
      <c r="H5" s="17"/>
      <c r="I5" s="17"/>
      <c r="J5" s="17">
        <f>SUM(J6:J15)</f>
        <v>0.25966786376164452</v>
      </c>
      <c r="K5" s="17"/>
      <c r="L5" s="17"/>
      <c r="M5" s="17"/>
      <c r="N5" s="17">
        <f>SUM(N6:N15)</f>
        <v>1094.6936364394478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3439.7159999999999</v>
      </c>
      <c r="C8" s="33"/>
      <c r="D8" s="37">
        <f>IF( ISERROR(IND_metaal_Gas_kWH/1000),0,IND_metaal_Gas_kWH/1000)*0.902</f>
        <v>0</v>
      </c>
      <c r="E8" s="33">
        <f>C30*'E Balans VL '!I18/100/3.6*1000000</f>
        <v>98.80155462994766</v>
      </c>
      <c r="F8" s="33">
        <f>C30*'E Balans VL '!L18/100/3.6*1000000+C30*'E Balans VL '!N18/100/3.6*1000000</f>
        <v>882.22099875406479</v>
      </c>
      <c r="G8" s="34"/>
      <c r="H8" s="33"/>
      <c r="I8" s="33"/>
      <c r="J8" s="40">
        <f>C30*'E Balans VL '!D18/100/3.6*1000000+C30*'E Balans VL '!E18/100/3.6*1000000</f>
        <v>0</v>
      </c>
      <c r="K8" s="33"/>
      <c r="L8" s="33"/>
      <c r="M8" s="33"/>
      <c r="N8" s="33">
        <f>C30*'E Balans VL '!Y18/100/3.6*1000000</f>
        <v>93.395310855139755</v>
      </c>
      <c r="O8" s="33"/>
      <c r="P8" s="33"/>
      <c r="R8" s="32"/>
    </row>
    <row r="9" spans="1:18">
      <c r="A9" s="6" t="s">
        <v>33</v>
      </c>
      <c r="B9" s="37">
        <f t="shared" si="0"/>
        <v>2310.0949999999998</v>
      </c>
      <c r="C9" s="33"/>
      <c r="D9" s="37">
        <f>IF( ISERROR(IND_andere_gas_kWh/1000),0,IND_andere_gas_kWh/1000)*0.902</f>
        <v>1379.5711160000001</v>
      </c>
      <c r="E9" s="33">
        <f>C31*'E Balans VL '!I19/100/3.6*1000000</f>
        <v>625.2859181008015</v>
      </c>
      <c r="F9" s="33">
        <f>C31*'E Balans VL '!L19/100/3.6*1000000+C31*'E Balans VL '!N19/100/3.6*1000000</f>
        <v>1538.7677291161258</v>
      </c>
      <c r="G9" s="34"/>
      <c r="H9" s="33"/>
      <c r="I9" s="33"/>
      <c r="J9" s="40">
        <f>C31*'E Balans VL '!D19/100/3.6*1000000+C31*'E Balans VL '!E19/100/3.6*1000000</f>
        <v>0</v>
      </c>
      <c r="K9" s="33"/>
      <c r="L9" s="33"/>
      <c r="M9" s="33"/>
      <c r="N9" s="33">
        <f>C31*'E Balans VL '!Y19/100/3.6*1000000</f>
        <v>754.20764353681625</v>
      </c>
      <c r="O9" s="33"/>
      <c r="P9" s="33"/>
      <c r="R9" s="32"/>
    </row>
    <row r="10" spans="1:18">
      <c r="A10" s="6" t="s">
        <v>41</v>
      </c>
      <c r="B10" s="37">
        <f t="shared" si="0"/>
        <v>839.85900000000004</v>
      </c>
      <c r="C10" s="33"/>
      <c r="D10" s="37">
        <f>IF( ISERROR(IND_voed_gas_kWh/1000),0,IND_voed_gas_kWh/1000)*0.902</f>
        <v>0</v>
      </c>
      <c r="E10" s="33">
        <f>C32*'E Balans VL '!I20/100/3.6*1000000</f>
        <v>68.500829565843617</v>
      </c>
      <c r="F10" s="33">
        <f>C32*'E Balans VL '!L20/100/3.6*1000000+C32*'E Balans VL '!N20/100/3.6*1000000</f>
        <v>1252.3059676851071</v>
      </c>
      <c r="G10" s="34"/>
      <c r="H10" s="33"/>
      <c r="I10" s="33"/>
      <c r="J10" s="40">
        <f>C32*'E Balans VL '!D20/100/3.6*1000000+C32*'E Balans VL '!E20/100/3.6*1000000</f>
        <v>1.1110315117934116E-2</v>
      </c>
      <c r="K10" s="33"/>
      <c r="L10" s="33"/>
      <c r="M10" s="33"/>
      <c r="N10" s="33">
        <f>C32*'E Balans VL '!Y20/100/3.6*1000000</f>
        <v>246.72093877141484</v>
      </c>
      <c r="O10" s="33"/>
      <c r="P10" s="33"/>
      <c r="R10" s="32"/>
    </row>
    <row r="11" spans="1:18">
      <c r="A11" s="6" t="s">
        <v>40</v>
      </c>
      <c r="B11" s="37">
        <f t="shared" si="0"/>
        <v>79.519000000000005</v>
      </c>
      <c r="C11" s="33"/>
      <c r="D11" s="37">
        <f>IF( ISERROR(IND_textiel_gas_kWh/1000),0,IND_textiel_gas_kWh/1000)*0.902</f>
        <v>0</v>
      </c>
      <c r="E11" s="33">
        <f>C33*'E Balans VL '!I21/100/3.6*1000000</f>
        <v>1.576229273565936E-2</v>
      </c>
      <c r="F11" s="33">
        <f>C33*'E Balans VL '!L21/100/3.6*1000000+C33*'E Balans VL '!N21/100/3.6*1000000</f>
        <v>2.9287807099797707</v>
      </c>
      <c r="G11" s="34"/>
      <c r="H11" s="33"/>
      <c r="I11" s="33"/>
      <c r="J11" s="40">
        <f>C33*'E Balans VL '!D21/100/3.6*1000000+C33*'E Balans VL '!E21/100/3.6*1000000</f>
        <v>0</v>
      </c>
      <c r="K11" s="33"/>
      <c r="L11" s="33"/>
      <c r="M11" s="33"/>
      <c r="N11" s="33">
        <f>C33*'E Balans VL '!Y21/100/3.6*1000000</f>
        <v>0.36974327607679525</v>
      </c>
      <c r="O11" s="33"/>
      <c r="P11" s="33"/>
      <c r="R11" s="32"/>
    </row>
    <row r="12" spans="1:18">
      <c r="A12" s="6" t="s">
        <v>37</v>
      </c>
      <c r="B12" s="37">
        <f t="shared" si="0"/>
        <v>45.192999999999998</v>
      </c>
      <c r="C12" s="33"/>
      <c r="D12" s="37">
        <f>IF( ISERROR(IND_min_gas_kWh/1000),0,IND_min_gas_kWh/1000)*0.902</f>
        <v>526.71568400000001</v>
      </c>
      <c r="E12" s="33">
        <f>C34*'E Balans VL '!I22/100/3.6*1000000</f>
        <v>0.35204362286444868</v>
      </c>
      <c r="F12" s="33">
        <f>C34*'E Balans VL '!L22/100/3.6*1000000+C34*'E Balans VL '!N22/100/3.6*1000000</f>
        <v>17.044022405328242</v>
      </c>
      <c r="G12" s="34"/>
      <c r="H12" s="33"/>
      <c r="I12" s="33"/>
      <c r="J12" s="40">
        <f>C34*'E Balans VL '!D22/100/3.6*1000000+C34*'E Balans VL '!E22/100/3.6*1000000</f>
        <v>0.24855754864371044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128.149846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6714.3820000000005</v>
      </c>
      <c r="C18" s="21">
        <f>C5+C16</f>
        <v>0</v>
      </c>
      <c r="D18" s="21">
        <f>MAX((D5+D16),0)</f>
        <v>2034.4366460000001</v>
      </c>
      <c r="E18" s="21">
        <f>MAX((E5+E16),0)</f>
        <v>792.95610821219282</v>
      </c>
      <c r="F18" s="21">
        <f>MAX((F5+F16),0)</f>
        <v>3693.2674986706061</v>
      </c>
      <c r="G18" s="21"/>
      <c r="H18" s="21"/>
      <c r="I18" s="21"/>
      <c r="J18" s="21">
        <f>MAX((J5+J16),0)</f>
        <v>0.25966786376164452</v>
      </c>
      <c r="K18" s="21"/>
      <c r="L18" s="21">
        <f>MAX((L5+L16),0)</f>
        <v>0</v>
      </c>
      <c r="M18" s="21"/>
      <c r="N18" s="21">
        <f>MAX((N5+N16),0)</f>
        <v>1094.6936364394478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0.18984017923461649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1274.6594823296828</v>
      </c>
      <c r="C22" s="23">
        <f ca="1">C18*C20</f>
        <v>0</v>
      </c>
      <c r="D22" s="23">
        <f>D18*D20</f>
        <v>410.95620249200005</v>
      </c>
      <c r="E22" s="23">
        <f>E18*E20</f>
        <v>180.00103656416778</v>
      </c>
      <c r="F22" s="23">
        <f>F18*F20</f>
        <v>986.10242214505183</v>
      </c>
      <c r="G22" s="23"/>
      <c r="H22" s="23"/>
      <c r="I22" s="23"/>
      <c r="J22" s="23">
        <f>J18*J20</f>
        <v>9.1922423771622158E-2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3439.7159999999999</v>
      </c>
      <c r="C30" s="39">
        <f>IF(ISERROR(B30*3.6/1000000/'E Balans VL '!Z18*100),0,B30*3.6/1000000/'E Balans VL '!Z18*100)</f>
        <v>0.33845927374041229</v>
      </c>
      <c r="D30" s="239" t="s">
        <v>692</v>
      </c>
    </row>
    <row r="31" spans="1:18">
      <c r="A31" s="6" t="s">
        <v>33</v>
      </c>
      <c r="B31" s="37">
        <f>IF( ISERROR(IND_ander_ele_kWh/1000),0,IND_ander_ele_kWh/1000)</f>
        <v>2310.0949999999998</v>
      </c>
      <c r="C31" s="39">
        <f>IF(ISERROR(B31*3.6/1000000/'E Balans VL '!Z19*100),0,B31*3.6/1000000/'E Balans VL '!Z19*100)</f>
        <v>0.10060279450537073</v>
      </c>
      <c r="D31" s="239" t="s">
        <v>692</v>
      </c>
    </row>
    <row r="32" spans="1:18">
      <c r="A32" s="173" t="s">
        <v>41</v>
      </c>
      <c r="B32" s="37">
        <f>IF( ISERROR(IND_voed_ele_kWh/1000),0,IND_voed_ele_kWh/1000)</f>
        <v>839.85900000000004</v>
      </c>
      <c r="C32" s="39">
        <f>IF(ISERROR(B32*3.6/1000000/'E Balans VL '!Z20*100),0,B32*3.6/1000000/'E Balans VL '!Z20*100)</f>
        <v>0.15935113316558266</v>
      </c>
      <c r="D32" s="239" t="s">
        <v>692</v>
      </c>
    </row>
    <row r="33" spans="1:5">
      <c r="A33" s="173" t="s">
        <v>40</v>
      </c>
      <c r="B33" s="37">
        <f>IF( ISERROR(IND_textiel_ele_kWh/1000),0,IND_textiel_ele_kWh/1000)</f>
        <v>79.519000000000005</v>
      </c>
      <c r="C33" s="39">
        <f>IF(ISERROR(B33*3.6/1000000/'E Balans VL '!Z21*100),0,B33*3.6/1000000/'E Balans VL '!Z21*100)</f>
        <v>4.5401316388446111E-3</v>
      </c>
      <c r="D33" s="239" t="s">
        <v>692</v>
      </c>
    </row>
    <row r="34" spans="1:5">
      <c r="A34" s="173" t="s">
        <v>37</v>
      </c>
      <c r="B34" s="37">
        <f>IF( ISERROR(IND_min_ele_kWh/1000),0,IND_min_ele_kWh/1000)</f>
        <v>45.192999999999998</v>
      </c>
      <c r="C34" s="39">
        <f>IF(ISERROR(B34*3.6/1000000/'E Balans VL '!Z22*100),0,B34*3.6/1000000/'E Balans VL '!Z22*100)</f>
        <v>6.3545896139607858E-3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2841.5430000000001</v>
      </c>
      <c r="C5" s="17">
        <f>'Eigen informatie GS &amp; warmtenet'!B60</f>
        <v>0</v>
      </c>
      <c r="D5" s="30">
        <f>IF(ISERROR(SUM(LB_lb_gas_kWh,LB_rest_gas_kWh,onbekend_gas_kWh)/1000),0,SUM(LB_lb_gas_kWh,LB_rest_gas_kWh,onbekend_gas_kWh)/1000)*0.902</f>
        <v>12.361008000000002</v>
      </c>
      <c r="E5" s="17">
        <f>B17*'E Balans VL '!I25/3.6*1000000/100</f>
        <v>35.807102451669806</v>
      </c>
      <c r="F5" s="17">
        <f>B17*('E Balans VL '!L25/3.6*1000000+'E Balans VL '!N25/3.6*1000000)/100</f>
        <v>9804.0351990562267</v>
      </c>
      <c r="G5" s="18"/>
      <c r="H5" s="17"/>
      <c r="I5" s="17"/>
      <c r="J5" s="17">
        <f>('E Balans VL '!D25+'E Balans VL '!E25)/3.6*1000000*landbouw!B17/100</f>
        <v>427.33576567920284</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2841.5430000000001</v>
      </c>
      <c r="C8" s="21">
        <f>C5+C6</f>
        <v>57.160714285714278</v>
      </c>
      <c r="D8" s="21">
        <f>MAX((D5+D6),0)</f>
        <v>12.361008000000002</v>
      </c>
      <c r="E8" s="21">
        <f>MAX((E5+E6),0)</f>
        <v>35.807102451669806</v>
      </c>
      <c r="F8" s="21">
        <f>MAX((F5+F6),0)</f>
        <v>9804.0351990562267</v>
      </c>
      <c r="G8" s="21"/>
      <c r="H8" s="21"/>
      <c r="I8" s="21"/>
      <c r="J8" s="21">
        <f>MAX((J5+J6),0)</f>
        <v>427.33576567920284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0.18984017923461649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539.4390324228699</v>
      </c>
      <c r="C12" s="23">
        <f ca="1">C8*C10</f>
        <v>0</v>
      </c>
      <c r="D12" s="23">
        <f>D8*D10</f>
        <v>2.4969236160000006</v>
      </c>
      <c r="E12" s="23">
        <f>E8*E10</f>
        <v>8.1282122565290464</v>
      </c>
      <c r="F12" s="23">
        <f>F8*F10</f>
        <v>2617.6773981480128</v>
      </c>
      <c r="G12" s="23"/>
      <c r="H12" s="23"/>
      <c r="I12" s="23"/>
      <c r="J12" s="23">
        <f>J8*J10</f>
        <v>151.27686105043779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0.39630568826328039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504.36081592627636</v>
      </c>
      <c r="C26" s="249">
        <f>B26*'GWP N2O_CH4'!B5</f>
        <v>10591.577134451803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234.85021422067342</v>
      </c>
      <c r="C27" s="249">
        <f>B27*'GWP N2O_CH4'!B5</f>
        <v>4931.8544986341421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8.6396783438884341</v>
      </c>
      <c r="C28" s="249">
        <f>B28*'GWP N2O_CH4'!B4</f>
        <v>2678.3002866054144</v>
      </c>
      <c r="D28" s="50"/>
    </row>
    <row r="29" spans="1:4">
      <c r="A29" s="41" t="s">
        <v>277</v>
      </c>
      <c r="B29" s="249">
        <f>B34*'ha_N2O bodem landbouw'!B4</f>
        <v>22.14672861081262</v>
      </c>
      <c r="C29" s="249">
        <f>B29*'GWP N2O_CH4'!B4</f>
        <v>6865.4858693519118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5.5298168378312054E-3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2.2263129400555341E-5</v>
      </c>
      <c r="C5" s="448" t="s">
        <v>211</v>
      </c>
      <c r="D5" s="433">
        <f>SUM(D6:D11)</f>
        <v>3.7514236232534572E-5</v>
      </c>
      <c r="E5" s="433">
        <f>SUM(E6:E11)</f>
        <v>1.1443761628827228E-3</v>
      </c>
      <c r="F5" s="446" t="s">
        <v>211</v>
      </c>
      <c r="G5" s="433">
        <f>SUM(G6:G11)</f>
        <v>0.28221918620017783</v>
      </c>
      <c r="H5" s="433">
        <f>SUM(H6:H11)</f>
        <v>5.6202627517491457E-2</v>
      </c>
      <c r="I5" s="448" t="s">
        <v>211</v>
      </c>
      <c r="J5" s="448" t="s">
        <v>211</v>
      </c>
      <c r="K5" s="448" t="s">
        <v>211</v>
      </c>
      <c r="L5" s="448" t="s">
        <v>211</v>
      </c>
      <c r="M5" s="433">
        <f>SUM(M6:M11)</f>
        <v>1.5137400133019806E-2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1.685529280286031E-5</v>
      </c>
      <c r="C6" s="949"/>
      <c r="D6" s="949">
        <f>vkm_2011_GW_PW*SUMIFS(TableVerdeelsleutelVkm[CNG],TableVerdeelsleutelVkm[Voertuigtype],"Lichte voertuigen")*SUMIFS(TableECFTransport[EnergieConsumptieFactor (PJ per km)],TableECFTransport[Index],CONCATENATE($A6,"_CNG_CNG"))</f>
        <v>2.3870391177373249E-5</v>
      </c>
      <c r="E6" s="949">
        <f>vkm_2011_GW_PW*SUMIFS(TableVerdeelsleutelVkm[LPG],TableVerdeelsleutelVkm[Voertuigtype],"Lichte voertuigen")*SUMIFS(TableECFTransport[EnergieConsumptieFactor (PJ per km)],TableECFTransport[Index],CONCATENATE($A6,"_LPG_LPG"))</f>
        <v>7.4969040347891988E-4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0.134739893557205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3.6205835191769113E-2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7.6283560187290697E-3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7.4675863365773906E-2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2.6605924551824236E-5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3.3698110164457795E-3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5.4078365976950318E-6</v>
      </c>
      <c r="C8" s="949"/>
      <c r="D8" s="436">
        <f>vkm_2011_NGW_PW*SUMIFS(TableVerdeelsleutelVkm[CNG],TableVerdeelsleutelVkm[Voertuigtype],"Lichte voertuigen")*SUMIFS(TableECFTransport[EnergieConsumptieFactor (PJ per km)],TableECFTransport[Index],CONCATENATE($A8,"_CNG_CNG"))</f>
        <v>1.3643845055161323E-5</v>
      </c>
      <c r="E8" s="436">
        <f>vkm_2011_NGW_PW*SUMIFS(TableVerdeelsleutelVkm[LPG],TableVerdeelsleutelVkm[Voertuigtype],"Lichte voertuigen")*SUMIFS(TableECFTransport[EnergieConsumptieFactor (PJ per km)],TableECFTransport[Index],CONCATENATE($A8,"_LPG_LPG"))</f>
        <v>3.9468575940380295E-4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6.6903063485410363E-2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1.9968197094490579E-2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3.8729789729659912E-3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5.9003657917885543E-3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1.9893066799362466E-6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2.6625412487896579E-4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6.1842026112653734</v>
      </c>
      <c r="C14" s="21"/>
      <c r="D14" s="21">
        <f t="shared" ref="D14:M14" si="0">((D5)*10^9/3600)+D12</f>
        <v>10.420621175704049</v>
      </c>
      <c r="E14" s="21">
        <f t="shared" si="0"/>
        <v>317.88226746742305</v>
      </c>
      <c r="F14" s="21"/>
      <c r="G14" s="21">
        <f t="shared" si="0"/>
        <v>78394.218388938287</v>
      </c>
      <c r="H14" s="21">
        <f t="shared" si="0"/>
        <v>15611.840977080961</v>
      </c>
      <c r="I14" s="21"/>
      <c r="J14" s="21"/>
      <c r="K14" s="21"/>
      <c r="L14" s="21"/>
      <c r="M14" s="21">
        <f t="shared" si="0"/>
        <v>4204.8333702832788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0.18984017923461649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1.1740101321458019</v>
      </c>
      <c r="C18" s="23"/>
      <c r="D18" s="23">
        <f t="shared" ref="D18:M18" si="1">D14*D16</f>
        <v>2.1049654774922182</v>
      </c>
      <c r="E18" s="23">
        <f t="shared" si="1"/>
        <v>72.159274715105028</v>
      </c>
      <c r="F18" s="23"/>
      <c r="G18" s="23">
        <f t="shared" si="1"/>
        <v>20931.256309846525</v>
      </c>
      <c r="H18" s="23">
        <f t="shared" si="1"/>
        <v>3887.3484032931592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6.936284778540568E-3</v>
      </c>
      <c r="H50" s="323">
        <f t="shared" si="2"/>
        <v>0</v>
      </c>
      <c r="I50" s="323">
        <f t="shared" si="2"/>
        <v>0</v>
      </c>
      <c r="J50" s="323">
        <f t="shared" si="2"/>
        <v>0</v>
      </c>
      <c r="K50" s="323">
        <f t="shared" si="2"/>
        <v>0</v>
      </c>
      <c r="L50" s="323">
        <f t="shared" si="2"/>
        <v>0</v>
      </c>
      <c r="M50" s="323">
        <f t="shared" si="2"/>
        <v>3.0847354967424403E-4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6.936284778540568E-3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3.0847354967424403E-4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1926.7457718168246</v>
      </c>
      <c r="H54" s="21">
        <f t="shared" si="3"/>
        <v>0</v>
      </c>
      <c r="I54" s="21">
        <f t="shared" si="3"/>
        <v>0</v>
      </c>
      <c r="J54" s="21">
        <f t="shared" si="3"/>
        <v>0</v>
      </c>
      <c r="K54" s="21">
        <f t="shared" si="3"/>
        <v>0</v>
      </c>
      <c r="L54" s="21">
        <f t="shared" si="3"/>
        <v>0</v>
      </c>
      <c r="M54" s="21">
        <f t="shared" si="3"/>
        <v>85.687097131734447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0.18984017923461649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514.44112107509216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5992.7994229849965</v>
      </c>
      <c r="C6" s="1142"/>
      <c r="D6" s="1145"/>
      <c r="E6" s="1145"/>
      <c r="F6" s="1148"/>
      <c r="G6" s="1151"/>
      <c r="H6" s="1139"/>
      <c r="I6" s="1145"/>
      <c r="J6" s="1145"/>
      <c r="K6" s="1145"/>
      <c r="L6" s="1175"/>
      <c r="M6" s="561"/>
      <c r="N6" s="1187"/>
      <c r="O6" s="1188"/>
      <c r="Q6" s="559"/>
      <c r="R6" s="1172"/>
      <c r="S6" s="117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6032.8119229849963</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72040</v>
      </c>
      <c r="C27" s="839">
        <v>3670</v>
      </c>
      <c r="D27" s="658" t="s">
        <v>840</v>
      </c>
      <c r="E27" s="657" t="s">
        <v>841</v>
      </c>
      <c r="F27" s="657" t="s">
        <v>842</v>
      </c>
      <c r="G27" s="657" t="s">
        <v>843</v>
      </c>
      <c r="H27" s="657" t="s">
        <v>844</v>
      </c>
      <c r="I27" s="657" t="s">
        <v>845</v>
      </c>
      <c r="J27" s="838">
        <v>41282</v>
      </c>
      <c r="K27" s="838">
        <v>41282</v>
      </c>
      <c r="L27" s="657" t="s">
        <v>846</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8626.0910000000022</v>
      </c>
      <c r="D10" s="704">
        <f ca="1">tertiair!C16</f>
        <v>0</v>
      </c>
      <c r="E10" s="704">
        <f ca="1">tertiair!D16</f>
        <v>3185.130674</v>
      </c>
      <c r="F10" s="704">
        <f>tertiair!E16</f>
        <v>126.74738816801892</v>
      </c>
      <c r="G10" s="704">
        <f ca="1">tertiair!F16</f>
        <v>1593.211641221877</v>
      </c>
      <c r="H10" s="704">
        <f>tertiair!G16</f>
        <v>0</v>
      </c>
      <c r="I10" s="704">
        <f>tertiair!H16</f>
        <v>0</v>
      </c>
      <c r="J10" s="704">
        <f>tertiair!I16</f>
        <v>0</v>
      </c>
      <c r="K10" s="704">
        <f>tertiair!J16</f>
        <v>0</v>
      </c>
      <c r="L10" s="704">
        <f>tertiair!K16</f>
        <v>0</v>
      </c>
      <c r="M10" s="704">
        <f ca="1">tertiair!L16</f>
        <v>0</v>
      </c>
      <c r="N10" s="704">
        <f>tertiair!M16</f>
        <v>0</v>
      </c>
      <c r="O10" s="704">
        <f ca="1">tertiair!N16</f>
        <v>447.68523664468876</v>
      </c>
      <c r="P10" s="704">
        <f>tertiair!O16</f>
        <v>0</v>
      </c>
      <c r="Q10" s="705">
        <f>tertiair!P16</f>
        <v>19.066666666666666</v>
      </c>
      <c r="R10" s="707">
        <f ca="1">SUM(C10:Q10)</f>
        <v>13997.932606701253</v>
      </c>
      <c r="S10" s="67"/>
    </row>
    <row r="11" spans="1:19" s="459" customFormat="1">
      <c r="A11" s="858" t="s">
        <v>225</v>
      </c>
      <c r="B11" s="863"/>
      <c r="C11" s="704">
        <f>huishoudens!B8</f>
        <v>24599.319180710678</v>
      </c>
      <c r="D11" s="704">
        <f>huishoudens!C8</f>
        <v>0</v>
      </c>
      <c r="E11" s="704">
        <f>huishoudens!D8</f>
        <v>24442.688248000002</v>
      </c>
      <c r="F11" s="704">
        <f>huishoudens!E8</f>
        <v>2397.4415407806691</v>
      </c>
      <c r="G11" s="704">
        <f>huishoudens!F8</f>
        <v>61143.674176992514</v>
      </c>
      <c r="H11" s="704">
        <f>huishoudens!G8</f>
        <v>0</v>
      </c>
      <c r="I11" s="704">
        <f>huishoudens!H8</f>
        <v>0</v>
      </c>
      <c r="J11" s="704">
        <f>huishoudens!I8</f>
        <v>0</v>
      </c>
      <c r="K11" s="704">
        <f>huishoudens!J8</f>
        <v>0</v>
      </c>
      <c r="L11" s="704">
        <f>huishoudens!K8</f>
        <v>0</v>
      </c>
      <c r="M11" s="704">
        <f>huishoudens!L8</f>
        <v>0</v>
      </c>
      <c r="N11" s="704">
        <f>huishoudens!M8</f>
        <v>0</v>
      </c>
      <c r="O11" s="704">
        <f>huishoudens!N8</f>
        <v>18285.593752987421</v>
      </c>
      <c r="P11" s="704">
        <f>huishoudens!O8</f>
        <v>365.82000000000005</v>
      </c>
      <c r="Q11" s="705">
        <f>huishoudens!P8</f>
        <v>1048.6666666666667</v>
      </c>
      <c r="R11" s="707">
        <f>SUM(C11:Q11)</f>
        <v>132283.20356613793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6714.3820000000005</v>
      </c>
      <c r="D13" s="704">
        <f>industrie!C18</f>
        <v>0</v>
      </c>
      <c r="E13" s="704">
        <f>industrie!D18</f>
        <v>2034.4366460000001</v>
      </c>
      <c r="F13" s="704">
        <f>industrie!E18</f>
        <v>792.95610821219282</v>
      </c>
      <c r="G13" s="704">
        <f>industrie!F18</f>
        <v>3693.2674986706061</v>
      </c>
      <c r="H13" s="704">
        <f>industrie!G18</f>
        <v>0</v>
      </c>
      <c r="I13" s="704">
        <f>industrie!H18</f>
        <v>0</v>
      </c>
      <c r="J13" s="704">
        <f>industrie!I18</f>
        <v>0</v>
      </c>
      <c r="K13" s="704">
        <f>industrie!J18</f>
        <v>0.25966786376164452</v>
      </c>
      <c r="L13" s="704">
        <f>industrie!K18</f>
        <v>0</v>
      </c>
      <c r="M13" s="704">
        <f>industrie!L18</f>
        <v>0</v>
      </c>
      <c r="N13" s="704">
        <f>industrie!M18</f>
        <v>0</v>
      </c>
      <c r="O13" s="704">
        <f>industrie!N18</f>
        <v>1094.6936364394478</v>
      </c>
      <c r="P13" s="704">
        <f>industrie!O18</f>
        <v>0</v>
      </c>
      <c r="Q13" s="705">
        <f>industrie!P18</f>
        <v>0</v>
      </c>
      <c r="R13" s="707">
        <f>SUM(C13:Q13)</f>
        <v>14329.995557186008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39939.792180710676</v>
      </c>
      <c r="D15" s="709">
        <f t="shared" ref="D15:Q15" ca="1" si="0">SUM(D9:D14)</f>
        <v>0</v>
      </c>
      <c r="E15" s="709">
        <f t="shared" ca="1" si="0"/>
        <v>29662.255568</v>
      </c>
      <c r="F15" s="709">
        <f t="shared" si="0"/>
        <v>3317.1450371608807</v>
      </c>
      <c r="G15" s="709">
        <f t="shared" ca="1" si="0"/>
        <v>66430.153316885</v>
      </c>
      <c r="H15" s="709">
        <f t="shared" si="0"/>
        <v>0</v>
      </c>
      <c r="I15" s="709">
        <f t="shared" si="0"/>
        <v>0</v>
      </c>
      <c r="J15" s="709">
        <f t="shared" si="0"/>
        <v>0</v>
      </c>
      <c r="K15" s="709">
        <f t="shared" si="0"/>
        <v>0.25966786376164452</v>
      </c>
      <c r="L15" s="709">
        <f t="shared" si="0"/>
        <v>0</v>
      </c>
      <c r="M15" s="709">
        <f t="shared" ca="1" si="0"/>
        <v>0</v>
      </c>
      <c r="N15" s="709">
        <f t="shared" si="0"/>
        <v>0</v>
      </c>
      <c r="O15" s="709">
        <f t="shared" ca="1" si="0"/>
        <v>19827.972626071554</v>
      </c>
      <c r="P15" s="709">
        <f t="shared" si="0"/>
        <v>365.82000000000005</v>
      </c>
      <c r="Q15" s="710">
        <f t="shared" si="0"/>
        <v>1067.7333333333333</v>
      </c>
      <c r="R15" s="711">
        <f ca="1">SUM(R9:R14)</f>
        <v>160611.1317300252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1926.7457718168246</v>
      </c>
      <c r="I18" s="704">
        <f>transport!H54</f>
        <v>0</v>
      </c>
      <c r="J18" s="704">
        <f>transport!I54</f>
        <v>0</v>
      </c>
      <c r="K18" s="704">
        <f>transport!J54</f>
        <v>0</v>
      </c>
      <c r="L18" s="704">
        <f>transport!K54</f>
        <v>0</v>
      </c>
      <c r="M18" s="704">
        <f>transport!L54</f>
        <v>0</v>
      </c>
      <c r="N18" s="704">
        <f>transport!M54</f>
        <v>85.687097131734447</v>
      </c>
      <c r="O18" s="704">
        <f>transport!N54</f>
        <v>0</v>
      </c>
      <c r="P18" s="704">
        <f>transport!O54</f>
        <v>0</v>
      </c>
      <c r="Q18" s="705">
        <f>transport!P54</f>
        <v>0</v>
      </c>
      <c r="R18" s="707">
        <f>SUM(C18:Q18)</f>
        <v>2012.432868948559</v>
      </c>
      <c r="S18" s="67"/>
    </row>
    <row r="19" spans="1:19" s="459" customFormat="1" ht="15" thickBot="1">
      <c r="A19" s="858" t="s">
        <v>307</v>
      </c>
      <c r="B19" s="863"/>
      <c r="C19" s="713">
        <f>transport!B14</f>
        <v>6.1842026112653734</v>
      </c>
      <c r="D19" s="713">
        <f>transport!C14</f>
        <v>0</v>
      </c>
      <c r="E19" s="713">
        <f>transport!D14</f>
        <v>10.420621175704049</v>
      </c>
      <c r="F19" s="713">
        <f>transport!E14</f>
        <v>317.88226746742305</v>
      </c>
      <c r="G19" s="713">
        <f>transport!F14</f>
        <v>0</v>
      </c>
      <c r="H19" s="713">
        <f>transport!G14</f>
        <v>78394.218388938287</v>
      </c>
      <c r="I19" s="713">
        <f>transport!H14</f>
        <v>15611.840977080961</v>
      </c>
      <c r="J19" s="713">
        <f>transport!I14</f>
        <v>0</v>
      </c>
      <c r="K19" s="713">
        <f>transport!J14</f>
        <v>0</v>
      </c>
      <c r="L19" s="713">
        <f>transport!K14</f>
        <v>0</v>
      </c>
      <c r="M19" s="713">
        <f>transport!L14</f>
        <v>0</v>
      </c>
      <c r="N19" s="713">
        <f>transport!M14</f>
        <v>4204.8333702832788</v>
      </c>
      <c r="O19" s="713">
        <f>transport!N14</f>
        <v>0</v>
      </c>
      <c r="P19" s="713">
        <f>transport!O14</f>
        <v>0</v>
      </c>
      <c r="Q19" s="714">
        <f>transport!P14</f>
        <v>0</v>
      </c>
      <c r="R19" s="715">
        <f>SUM(C19:Q19)</f>
        <v>98545.379827556928</v>
      </c>
      <c r="S19" s="67"/>
    </row>
    <row r="20" spans="1:19" s="459" customFormat="1" ht="15.75" thickBot="1">
      <c r="A20" s="716" t="s">
        <v>230</v>
      </c>
      <c r="B20" s="866"/>
      <c r="C20" s="861">
        <f>SUM(C17:C19)</f>
        <v>6.1842026112653734</v>
      </c>
      <c r="D20" s="717">
        <f t="shared" ref="D20:R20" si="1">SUM(D17:D19)</f>
        <v>0</v>
      </c>
      <c r="E20" s="717">
        <f t="shared" si="1"/>
        <v>10.420621175704049</v>
      </c>
      <c r="F20" s="717">
        <f t="shared" si="1"/>
        <v>317.88226746742305</v>
      </c>
      <c r="G20" s="717">
        <f t="shared" si="1"/>
        <v>0</v>
      </c>
      <c r="H20" s="717">
        <f t="shared" si="1"/>
        <v>80320.964160755117</v>
      </c>
      <c r="I20" s="717">
        <f t="shared" si="1"/>
        <v>15611.840977080961</v>
      </c>
      <c r="J20" s="717">
        <f t="shared" si="1"/>
        <v>0</v>
      </c>
      <c r="K20" s="717">
        <f t="shared" si="1"/>
        <v>0</v>
      </c>
      <c r="L20" s="717">
        <f t="shared" si="1"/>
        <v>0</v>
      </c>
      <c r="M20" s="717">
        <f t="shared" si="1"/>
        <v>0</v>
      </c>
      <c r="N20" s="717">
        <f t="shared" si="1"/>
        <v>4290.5204674150136</v>
      </c>
      <c r="O20" s="717">
        <f t="shared" si="1"/>
        <v>0</v>
      </c>
      <c r="P20" s="717">
        <f t="shared" si="1"/>
        <v>0</v>
      </c>
      <c r="Q20" s="718">
        <f t="shared" si="1"/>
        <v>0</v>
      </c>
      <c r="R20" s="719">
        <f t="shared" si="1"/>
        <v>100557.81269650548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2841.5430000000001</v>
      </c>
      <c r="D22" s="713">
        <f>+landbouw!C8</f>
        <v>57.160714285714278</v>
      </c>
      <c r="E22" s="713">
        <f>+landbouw!D8</f>
        <v>12.361008000000002</v>
      </c>
      <c r="F22" s="713">
        <f>+landbouw!E8</f>
        <v>35.807102451669806</v>
      </c>
      <c r="G22" s="713">
        <f>+landbouw!F8</f>
        <v>9804.0351990562267</v>
      </c>
      <c r="H22" s="713">
        <f>+landbouw!G8</f>
        <v>0</v>
      </c>
      <c r="I22" s="713">
        <f>+landbouw!H8</f>
        <v>0</v>
      </c>
      <c r="J22" s="713">
        <f>+landbouw!I8</f>
        <v>0</v>
      </c>
      <c r="K22" s="713">
        <f>+landbouw!J8</f>
        <v>427.33576567920284</v>
      </c>
      <c r="L22" s="713">
        <f>+landbouw!K8</f>
        <v>0</v>
      </c>
      <c r="M22" s="713">
        <f>+landbouw!L8</f>
        <v>0</v>
      </c>
      <c r="N22" s="713">
        <f>+landbouw!M8</f>
        <v>0</v>
      </c>
      <c r="O22" s="713">
        <f>+landbouw!N8</f>
        <v>0</v>
      </c>
      <c r="P22" s="713">
        <f>+landbouw!O8</f>
        <v>0</v>
      </c>
      <c r="Q22" s="714">
        <f>+landbouw!P8</f>
        <v>0</v>
      </c>
      <c r="R22" s="715">
        <f>SUM(C22:Q22)</f>
        <v>13178.242789472813</v>
      </c>
      <c r="S22" s="67"/>
    </row>
    <row r="23" spans="1:19" s="459" customFormat="1" ht="17.25" thickTop="1" thickBot="1">
      <c r="A23" s="720" t="s">
        <v>116</v>
      </c>
      <c r="B23" s="852"/>
      <c r="C23" s="721">
        <f ca="1">C20+C15+C22</f>
        <v>42787.519383321938</v>
      </c>
      <c r="D23" s="721">
        <f t="shared" ref="D23:Q23" ca="1" si="2">D20+D15+D22</f>
        <v>57.160714285714278</v>
      </c>
      <c r="E23" s="721">
        <f t="shared" ca="1" si="2"/>
        <v>29685.037197175705</v>
      </c>
      <c r="F23" s="721">
        <f t="shared" si="2"/>
        <v>3670.8344070799735</v>
      </c>
      <c r="G23" s="721">
        <f t="shared" ca="1" si="2"/>
        <v>76234.188515941234</v>
      </c>
      <c r="H23" s="721">
        <f t="shared" si="2"/>
        <v>80320.964160755117</v>
      </c>
      <c r="I23" s="721">
        <f t="shared" si="2"/>
        <v>15611.840977080961</v>
      </c>
      <c r="J23" s="721">
        <f t="shared" si="2"/>
        <v>0</v>
      </c>
      <c r="K23" s="721">
        <f t="shared" si="2"/>
        <v>427.59543354296449</v>
      </c>
      <c r="L23" s="721">
        <f t="shared" si="2"/>
        <v>0</v>
      </c>
      <c r="M23" s="721">
        <f t="shared" ca="1" si="2"/>
        <v>0</v>
      </c>
      <c r="N23" s="721">
        <f t="shared" si="2"/>
        <v>4290.5204674150136</v>
      </c>
      <c r="O23" s="721">
        <f t="shared" ca="1" si="2"/>
        <v>19827.972626071554</v>
      </c>
      <c r="P23" s="721">
        <f t="shared" si="2"/>
        <v>365.82000000000005</v>
      </c>
      <c r="Q23" s="722">
        <f t="shared" si="2"/>
        <v>1067.7333333333333</v>
      </c>
      <c r="R23" s="723">
        <f ca="1">R20+R15+R22</f>
        <v>274347.18721600348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1637.5786615341126</v>
      </c>
      <c r="D36" s="704">
        <f ca="1">tertiair!C20</f>
        <v>0</v>
      </c>
      <c r="E36" s="704">
        <f ca="1">tertiair!D20</f>
        <v>643.39639614800001</v>
      </c>
      <c r="F36" s="704">
        <f>tertiair!E20</f>
        <v>28.771657114140293</v>
      </c>
      <c r="G36" s="704">
        <f ca="1">tertiair!F20</f>
        <v>425.38750820624119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2735.1342230024943</v>
      </c>
    </row>
    <row r="37" spans="1:18">
      <c r="A37" s="873" t="s">
        <v>225</v>
      </c>
      <c r="B37" s="880"/>
      <c r="C37" s="704">
        <f ca="1">huishoudens!B12</f>
        <v>4669.9391623156544</v>
      </c>
      <c r="D37" s="704">
        <f ca="1">huishoudens!C12</f>
        <v>0</v>
      </c>
      <c r="E37" s="704">
        <f>huishoudens!D12</f>
        <v>4937.4230260960012</v>
      </c>
      <c r="F37" s="704">
        <f>huishoudens!E12</f>
        <v>544.21922975721191</v>
      </c>
      <c r="G37" s="704">
        <f>huishoudens!F12</f>
        <v>16325.361005257002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26476.942423425869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1274.6594823296828</v>
      </c>
      <c r="D39" s="704">
        <f ca="1">industrie!C22</f>
        <v>0</v>
      </c>
      <c r="E39" s="704">
        <f>industrie!D22</f>
        <v>410.95620249200005</v>
      </c>
      <c r="F39" s="704">
        <f>industrie!E22</f>
        <v>180.00103656416778</v>
      </c>
      <c r="G39" s="704">
        <f>industrie!F22</f>
        <v>986.10242214505183</v>
      </c>
      <c r="H39" s="704">
        <f>industrie!G22</f>
        <v>0</v>
      </c>
      <c r="I39" s="704">
        <f>industrie!H22</f>
        <v>0</v>
      </c>
      <c r="J39" s="704">
        <f>industrie!I22</f>
        <v>0</v>
      </c>
      <c r="K39" s="704">
        <f>industrie!J22</f>
        <v>9.1922423771622158E-2</v>
      </c>
      <c r="L39" s="704">
        <f>industrie!K22</f>
        <v>0</v>
      </c>
      <c r="M39" s="704">
        <f>industrie!L22</f>
        <v>0</v>
      </c>
      <c r="N39" s="704">
        <f>industrie!M22</f>
        <v>0</v>
      </c>
      <c r="O39" s="704">
        <f>industrie!N22</f>
        <v>0</v>
      </c>
      <c r="P39" s="704">
        <f>industrie!O22</f>
        <v>0</v>
      </c>
      <c r="Q39" s="814">
        <f>industrie!P22</f>
        <v>0</v>
      </c>
      <c r="R39" s="906">
        <f ca="1">SUM(C39:Q39)</f>
        <v>2851.8110659546742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7582.1773061794493</v>
      </c>
      <c r="D41" s="749">
        <f t="shared" ref="D41:R41" ca="1" si="4">SUM(D35:D40)</f>
        <v>0</v>
      </c>
      <c r="E41" s="749">
        <f t="shared" ca="1" si="4"/>
        <v>5991.7756247360012</v>
      </c>
      <c r="F41" s="749">
        <f t="shared" si="4"/>
        <v>752.99192343551999</v>
      </c>
      <c r="G41" s="749">
        <f t="shared" ca="1" si="4"/>
        <v>17736.850935608298</v>
      </c>
      <c r="H41" s="749">
        <f t="shared" si="4"/>
        <v>0</v>
      </c>
      <c r="I41" s="749">
        <f t="shared" si="4"/>
        <v>0</v>
      </c>
      <c r="J41" s="749">
        <f t="shared" si="4"/>
        <v>0</v>
      </c>
      <c r="K41" s="749">
        <f t="shared" si="4"/>
        <v>9.1922423771622158E-2</v>
      </c>
      <c r="L41" s="749">
        <f t="shared" si="4"/>
        <v>0</v>
      </c>
      <c r="M41" s="749">
        <f t="shared" ca="1" si="4"/>
        <v>0</v>
      </c>
      <c r="N41" s="749">
        <f t="shared" si="4"/>
        <v>0</v>
      </c>
      <c r="O41" s="749">
        <f t="shared" ca="1" si="4"/>
        <v>0</v>
      </c>
      <c r="P41" s="749">
        <f t="shared" si="4"/>
        <v>0</v>
      </c>
      <c r="Q41" s="750">
        <f t="shared" si="4"/>
        <v>0</v>
      </c>
      <c r="R41" s="751">
        <f t="shared" ca="1" si="4"/>
        <v>32063.887712383035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514.44112107509216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514.44112107509216</v>
      </c>
    </row>
    <row r="45" spans="1:18" ht="15" thickBot="1">
      <c r="A45" s="876" t="s">
        <v>307</v>
      </c>
      <c r="B45" s="886"/>
      <c r="C45" s="713">
        <f ca="1">transport!B18</f>
        <v>1.1740101321458019</v>
      </c>
      <c r="D45" s="713">
        <f>transport!C18</f>
        <v>0</v>
      </c>
      <c r="E45" s="713">
        <f>transport!D18</f>
        <v>2.1049654774922182</v>
      </c>
      <c r="F45" s="713">
        <f>transport!E18</f>
        <v>72.159274715105028</v>
      </c>
      <c r="G45" s="713">
        <f>transport!F18</f>
        <v>0</v>
      </c>
      <c r="H45" s="713">
        <f>transport!G18</f>
        <v>20931.256309846525</v>
      </c>
      <c r="I45" s="713">
        <f>transport!H18</f>
        <v>3887.3484032931592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24894.042963464428</v>
      </c>
    </row>
    <row r="46" spans="1:18" ht="15.75" thickBot="1">
      <c r="A46" s="874" t="s">
        <v>230</v>
      </c>
      <c r="B46" s="887"/>
      <c r="C46" s="749">
        <f t="shared" ref="C46:R46" ca="1" si="5">SUM(C43:C45)</f>
        <v>1.1740101321458019</v>
      </c>
      <c r="D46" s="749">
        <f t="shared" ca="1" si="5"/>
        <v>0</v>
      </c>
      <c r="E46" s="749">
        <f t="shared" si="5"/>
        <v>2.1049654774922182</v>
      </c>
      <c r="F46" s="749">
        <f t="shared" si="5"/>
        <v>72.159274715105028</v>
      </c>
      <c r="G46" s="749">
        <f t="shared" si="5"/>
        <v>0</v>
      </c>
      <c r="H46" s="749">
        <f t="shared" si="5"/>
        <v>21445.697430921617</v>
      </c>
      <c r="I46" s="749">
        <f t="shared" si="5"/>
        <v>3887.3484032931592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25408.484084539519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539.4390324228699</v>
      </c>
      <c r="D48" s="704">
        <f ca="1">+landbouw!C12</f>
        <v>0</v>
      </c>
      <c r="E48" s="704">
        <f>+landbouw!D12</f>
        <v>2.4969236160000006</v>
      </c>
      <c r="F48" s="704">
        <f>+landbouw!E12</f>
        <v>8.1282122565290464</v>
      </c>
      <c r="G48" s="704">
        <f>+landbouw!F12</f>
        <v>2617.6773981480128</v>
      </c>
      <c r="H48" s="704">
        <f>+landbouw!G12</f>
        <v>0</v>
      </c>
      <c r="I48" s="704">
        <f>+landbouw!H12</f>
        <v>0</v>
      </c>
      <c r="J48" s="704">
        <f>+landbouw!I12</f>
        <v>0</v>
      </c>
      <c r="K48" s="704">
        <f>+landbouw!J12</f>
        <v>151.27686105043779</v>
      </c>
      <c r="L48" s="704">
        <f>+landbouw!K12</f>
        <v>0</v>
      </c>
      <c r="M48" s="704">
        <f>+landbouw!L12</f>
        <v>0</v>
      </c>
      <c r="N48" s="704">
        <f>+landbouw!M12</f>
        <v>0</v>
      </c>
      <c r="O48" s="704">
        <f>+landbouw!N12</f>
        <v>0</v>
      </c>
      <c r="P48" s="704">
        <f>+landbouw!O12</f>
        <v>0</v>
      </c>
      <c r="Q48" s="705">
        <f>+landbouw!P12</f>
        <v>0</v>
      </c>
      <c r="R48" s="747">
        <f ca="1">SUM(C48:Q48)</f>
        <v>3319.0184274938497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8122.7903487344647</v>
      </c>
      <c r="D53" s="759">
        <f t="shared" ref="D53:Q53" ca="1" si="6">D41+D46+D48</f>
        <v>0</v>
      </c>
      <c r="E53" s="759">
        <f t="shared" ca="1" si="6"/>
        <v>5996.3775138294932</v>
      </c>
      <c r="F53" s="759">
        <f t="shared" si="6"/>
        <v>833.27941040715416</v>
      </c>
      <c r="G53" s="759">
        <f t="shared" ca="1" si="6"/>
        <v>20354.528333756309</v>
      </c>
      <c r="H53" s="759">
        <f t="shared" si="6"/>
        <v>21445.697430921617</v>
      </c>
      <c r="I53" s="759">
        <f t="shared" si="6"/>
        <v>3887.3484032931592</v>
      </c>
      <c r="J53" s="759">
        <f t="shared" si="6"/>
        <v>0</v>
      </c>
      <c r="K53" s="759">
        <f t="shared" si="6"/>
        <v>151.36878347420941</v>
      </c>
      <c r="L53" s="759">
        <f t="shared" si="6"/>
        <v>0</v>
      </c>
      <c r="M53" s="759">
        <f t="shared" ca="1" si="6"/>
        <v>0</v>
      </c>
      <c r="N53" s="759">
        <f t="shared" si="6"/>
        <v>0</v>
      </c>
      <c r="O53" s="759">
        <f t="shared" ca="1" si="6"/>
        <v>0</v>
      </c>
      <c r="P53" s="759">
        <f>P41+P46+P48</f>
        <v>0</v>
      </c>
      <c r="Q53" s="760">
        <f t="shared" si="6"/>
        <v>0</v>
      </c>
      <c r="R53" s="761">
        <f ca="1">R41+R46+R48</f>
        <v>60791.390224416406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0.18984017923461652</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5992.7994229849965</v>
      </c>
      <c r="C66" s="781">
        <f>'lokale energieproductie'!B6</f>
        <v>5992.7994229849965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6032.8119229849963</v>
      </c>
      <c r="C69" s="789">
        <f>SUM(C64:C68)</f>
        <v>6032.8119229849963</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24599.319180710678</v>
      </c>
      <c r="C4" s="463">
        <f>huishoudens!C8</f>
        <v>0</v>
      </c>
      <c r="D4" s="463">
        <f>huishoudens!D8</f>
        <v>24442.688248000002</v>
      </c>
      <c r="E4" s="463">
        <f>huishoudens!E8</f>
        <v>2397.4415407806691</v>
      </c>
      <c r="F4" s="463">
        <f>huishoudens!F8</f>
        <v>61143.674176992514</v>
      </c>
      <c r="G4" s="463">
        <f>huishoudens!G8</f>
        <v>0</v>
      </c>
      <c r="H4" s="463">
        <f>huishoudens!H8</f>
        <v>0</v>
      </c>
      <c r="I4" s="463">
        <f>huishoudens!I8</f>
        <v>0</v>
      </c>
      <c r="J4" s="463">
        <f>huishoudens!J8</f>
        <v>0</v>
      </c>
      <c r="K4" s="463">
        <f>huishoudens!K8</f>
        <v>0</v>
      </c>
      <c r="L4" s="463">
        <f>huishoudens!L8</f>
        <v>0</v>
      </c>
      <c r="M4" s="463">
        <f>huishoudens!M8</f>
        <v>0</v>
      </c>
      <c r="N4" s="463">
        <f>huishoudens!N8</f>
        <v>18285.593752987421</v>
      </c>
      <c r="O4" s="463">
        <f>huishoudens!O8</f>
        <v>365.82000000000005</v>
      </c>
      <c r="P4" s="464">
        <f>huishoudens!P8</f>
        <v>1048.6666666666667</v>
      </c>
      <c r="Q4" s="465">
        <f>SUM(B4:P4)</f>
        <v>132283.20356613793</v>
      </c>
    </row>
    <row r="5" spans="1:17">
      <c r="A5" s="462" t="s">
        <v>156</v>
      </c>
      <c r="B5" s="463">
        <f ca="1">tertiair!B16</f>
        <v>7888.9770000000017</v>
      </c>
      <c r="C5" s="463">
        <f ca="1">tertiair!C16</f>
        <v>0</v>
      </c>
      <c r="D5" s="463">
        <f ca="1">tertiair!D16</f>
        <v>3185.130674</v>
      </c>
      <c r="E5" s="463">
        <f>tertiair!E16</f>
        <v>126.74738816801892</v>
      </c>
      <c r="F5" s="463">
        <f ca="1">tertiair!F16</f>
        <v>1593.211641221877</v>
      </c>
      <c r="G5" s="463">
        <f>tertiair!G16</f>
        <v>0</v>
      </c>
      <c r="H5" s="463">
        <f>tertiair!H16</f>
        <v>0</v>
      </c>
      <c r="I5" s="463">
        <f>tertiair!I16</f>
        <v>0</v>
      </c>
      <c r="J5" s="463">
        <f>tertiair!J16</f>
        <v>0</v>
      </c>
      <c r="K5" s="463">
        <f>tertiair!K16</f>
        <v>0</v>
      </c>
      <c r="L5" s="463">
        <f ca="1">tertiair!L16</f>
        <v>0</v>
      </c>
      <c r="M5" s="463">
        <f>tertiair!M16</f>
        <v>0</v>
      </c>
      <c r="N5" s="463">
        <f ca="1">tertiair!N16</f>
        <v>447.68523664468876</v>
      </c>
      <c r="O5" s="463">
        <f>tertiair!O16</f>
        <v>0</v>
      </c>
      <c r="P5" s="464">
        <f>tertiair!P16</f>
        <v>19.066666666666666</v>
      </c>
      <c r="Q5" s="462">
        <f t="shared" ref="Q5:Q13" ca="1" si="0">SUM(B5:P5)</f>
        <v>13260.818606701256</v>
      </c>
    </row>
    <row r="6" spans="1:17">
      <c r="A6" s="462" t="s">
        <v>194</v>
      </c>
      <c r="B6" s="463">
        <f>'openbare verlichting'!B8</f>
        <v>737.11400000000003</v>
      </c>
      <c r="C6" s="463"/>
      <c r="D6" s="463"/>
      <c r="E6" s="463"/>
      <c r="F6" s="463"/>
      <c r="G6" s="463"/>
      <c r="H6" s="463"/>
      <c r="I6" s="463"/>
      <c r="J6" s="463"/>
      <c r="K6" s="463"/>
      <c r="L6" s="463"/>
      <c r="M6" s="463"/>
      <c r="N6" s="463"/>
      <c r="O6" s="463"/>
      <c r="P6" s="464"/>
      <c r="Q6" s="462">
        <f t="shared" si="0"/>
        <v>737.11400000000003</v>
      </c>
    </row>
    <row r="7" spans="1:17">
      <c r="A7" s="462" t="s">
        <v>112</v>
      </c>
      <c r="B7" s="463">
        <f>landbouw!B8</f>
        <v>2841.5430000000001</v>
      </c>
      <c r="C7" s="463">
        <f>landbouw!C8</f>
        <v>57.160714285714278</v>
      </c>
      <c r="D7" s="463">
        <f>landbouw!D8</f>
        <v>12.361008000000002</v>
      </c>
      <c r="E7" s="463">
        <f>landbouw!E8</f>
        <v>35.807102451669806</v>
      </c>
      <c r="F7" s="463">
        <f>landbouw!F8</f>
        <v>9804.0351990562267</v>
      </c>
      <c r="G7" s="463">
        <f>landbouw!G8</f>
        <v>0</v>
      </c>
      <c r="H7" s="463">
        <f>landbouw!H8</f>
        <v>0</v>
      </c>
      <c r="I7" s="463">
        <f>landbouw!I8</f>
        <v>0</v>
      </c>
      <c r="J7" s="463">
        <f>landbouw!J8</f>
        <v>427.33576567920284</v>
      </c>
      <c r="K7" s="463">
        <f>landbouw!K8</f>
        <v>0</v>
      </c>
      <c r="L7" s="463">
        <f>landbouw!L8</f>
        <v>0</v>
      </c>
      <c r="M7" s="463">
        <f>landbouw!M8</f>
        <v>0</v>
      </c>
      <c r="N7" s="463">
        <f>landbouw!N8</f>
        <v>0</v>
      </c>
      <c r="O7" s="463">
        <f>landbouw!O8</f>
        <v>0</v>
      </c>
      <c r="P7" s="464">
        <f>landbouw!P8</f>
        <v>0</v>
      </c>
      <c r="Q7" s="462">
        <f t="shared" si="0"/>
        <v>13178.242789472813</v>
      </c>
    </row>
    <row r="8" spans="1:17">
      <c r="A8" s="462" t="s">
        <v>657</v>
      </c>
      <c r="B8" s="463">
        <f>industrie!B18</f>
        <v>6714.3820000000005</v>
      </c>
      <c r="C8" s="463">
        <f>industrie!C18</f>
        <v>0</v>
      </c>
      <c r="D8" s="463">
        <f>industrie!D18</f>
        <v>2034.4366460000001</v>
      </c>
      <c r="E8" s="463">
        <f>industrie!E18</f>
        <v>792.95610821219282</v>
      </c>
      <c r="F8" s="463">
        <f>industrie!F18</f>
        <v>3693.2674986706061</v>
      </c>
      <c r="G8" s="463">
        <f>industrie!G18</f>
        <v>0</v>
      </c>
      <c r="H8" s="463">
        <f>industrie!H18</f>
        <v>0</v>
      </c>
      <c r="I8" s="463">
        <f>industrie!I18</f>
        <v>0</v>
      </c>
      <c r="J8" s="463">
        <f>industrie!J18</f>
        <v>0.25966786376164452</v>
      </c>
      <c r="K8" s="463">
        <f>industrie!K18</f>
        <v>0</v>
      </c>
      <c r="L8" s="463">
        <f>industrie!L18</f>
        <v>0</v>
      </c>
      <c r="M8" s="463">
        <f>industrie!M18</f>
        <v>0</v>
      </c>
      <c r="N8" s="463">
        <f>industrie!N18</f>
        <v>1094.6936364394478</v>
      </c>
      <c r="O8" s="463">
        <f>industrie!O18</f>
        <v>0</v>
      </c>
      <c r="P8" s="464">
        <f>industrie!P18</f>
        <v>0</v>
      </c>
      <c r="Q8" s="462">
        <f t="shared" si="0"/>
        <v>14329.995557186008</v>
      </c>
    </row>
    <row r="9" spans="1:17" s="468" customFormat="1">
      <c r="A9" s="466" t="s">
        <v>574</v>
      </c>
      <c r="B9" s="467">
        <f>transport!B14</f>
        <v>6.1842026112653734</v>
      </c>
      <c r="C9" s="467">
        <f>transport!C14</f>
        <v>0</v>
      </c>
      <c r="D9" s="467">
        <f>transport!D14</f>
        <v>10.420621175704049</v>
      </c>
      <c r="E9" s="467">
        <f>transport!E14</f>
        <v>317.88226746742305</v>
      </c>
      <c r="F9" s="467">
        <f>transport!F14</f>
        <v>0</v>
      </c>
      <c r="G9" s="467">
        <f>transport!G14</f>
        <v>78394.218388938287</v>
      </c>
      <c r="H9" s="467">
        <f>transport!H14</f>
        <v>15611.840977080961</v>
      </c>
      <c r="I9" s="467">
        <f>transport!I14</f>
        <v>0</v>
      </c>
      <c r="J9" s="467">
        <f>transport!J14</f>
        <v>0</v>
      </c>
      <c r="K9" s="467">
        <f>transport!K14</f>
        <v>0</v>
      </c>
      <c r="L9" s="467">
        <f>transport!L14</f>
        <v>0</v>
      </c>
      <c r="M9" s="467">
        <f>transport!M14</f>
        <v>4204.8333702832788</v>
      </c>
      <c r="N9" s="467">
        <f>transport!N14</f>
        <v>0</v>
      </c>
      <c r="O9" s="467">
        <f>transport!O14</f>
        <v>0</v>
      </c>
      <c r="P9" s="467">
        <f>transport!P14</f>
        <v>0</v>
      </c>
      <c r="Q9" s="466">
        <f>SUM(B9:P9)</f>
        <v>98545.379827556928</v>
      </c>
    </row>
    <row r="10" spans="1:17">
      <c r="A10" s="462" t="s">
        <v>564</v>
      </c>
      <c r="B10" s="463">
        <f>transport!B54</f>
        <v>0</v>
      </c>
      <c r="C10" s="463">
        <f>transport!C54</f>
        <v>0</v>
      </c>
      <c r="D10" s="463">
        <f>transport!D54</f>
        <v>0</v>
      </c>
      <c r="E10" s="463">
        <f>transport!E54</f>
        <v>0</v>
      </c>
      <c r="F10" s="463">
        <f>transport!F54</f>
        <v>0</v>
      </c>
      <c r="G10" s="463">
        <f>transport!G54</f>
        <v>1926.7457718168246</v>
      </c>
      <c r="H10" s="463">
        <f>transport!H54</f>
        <v>0</v>
      </c>
      <c r="I10" s="463">
        <f>transport!I54</f>
        <v>0</v>
      </c>
      <c r="J10" s="463">
        <f>transport!J54</f>
        <v>0</v>
      </c>
      <c r="K10" s="463">
        <f>transport!K54</f>
        <v>0</v>
      </c>
      <c r="L10" s="463">
        <f>transport!L54</f>
        <v>0</v>
      </c>
      <c r="M10" s="463">
        <f>transport!M54</f>
        <v>85.687097131734447</v>
      </c>
      <c r="N10" s="463">
        <f>transport!N54</f>
        <v>0</v>
      </c>
      <c r="O10" s="463">
        <f>transport!O54</f>
        <v>0</v>
      </c>
      <c r="P10" s="464">
        <f>transport!P54</f>
        <v>0</v>
      </c>
      <c r="Q10" s="462">
        <f t="shared" si="0"/>
        <v>2012.432868948559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42787.519383321938</v>
      </c>
      <c r="C14" s="473">
        <f t="shared" ref="C14:Q14" ca="1" si="1">SUM(C4:C13)</f>
        <v>57.160714285714278</v>
      </c>
      <c r="D14" s="473">
        <f t="shared" ca="1" si="1"/>
        <v>29685.037197175705</v>
      </c>
      <c r="E14" s="473">
        <f t="shared" si="1"/>
        <v>3670.8344070799735</v>
      </c>
      <c r="F14" s="473">
        <f t="shared" ca="1" si="1"/>
        <v>76234.188515941234</v>
      </c>
      <c r="G14" s="473">
        <f t="shared" si="1"/>
        <v>80320.964160755117</v>
      </c>
      <c r="H14" s="473">
        <f t="shared" si="1"/>
        <v>15611.840977080961</v>
      </c>
      <c r="I14" s="473">
        <f t="shared" si="1"/>
        <v>0</v>
      </c>
      <c r="J14" s="473">
        <f t="shared" si="1"/>
        <v>427.59543354296449</v>
      </c>
      <c r="K14" s="473">
        <f t="shared" si="1"/>
        <v>0</v>
      </c>
      <c r="L14" s="473">
        <f t="shared" ca="1" si="1"/>
        <v>0</v>
      </c>
      <c r="M14" s="473">
        <f t="shared" si="1"/>
        <v>4290.5204674150136</v>
      </c>
      <c r="N14" s="473">
        <f t="shared" ca="1" si="1"/>
        <v>19827.972626071554</v>
      </c>
      <c r="O14" s="473">
        <f t="shared" si="1"/>
        <v>365.82000000000005</v>
      </c>
      <c r="P14" s="474">
        <f t="shared" si="1"/>
        <v>1067.7333333333333</v>
      </c>
      <c r="Q14" s="474">
        <f t="shared" ca="1" si="1"/>
        <v>274347.18721600348</v>
      </c>
    </row>
    <row r="16" spans="1:17">
      <c r="A16" s="476" t="s">
        <v>569</v>
      </c>
      <c r="B16" s="829">
        <f ca="1">huishoudens!B10</f>
        <v>0.18984017923461649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4669.9391623156544</v>
      </c>
      <c r="C21" s="463">
        <f t="shared" ref="C21:C30" ca="1" si="3">C4*$C$16</f>
        <v>0</v>
      </c>
      <c r="D21" s="463">
        <f t="shared" ref="D21:D30" si="4">D4*$D$16</f>
        <v>4937.4230260960012</v>
      </c>
      <c r="E21" s="463">
        <f t="shared" ref="E21:E30" si="5">E4*$E$16</f>
        <v>544.21922975721191</v>
      </c>
      <c r="F21" s="463">
        <f t="shared" ref="F21:F30" si="6">F4*$F$16</f>
        <v>16325.361005257002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26476.942423425869</v>
      </c>
    </row>
    <row r="22" spans="1:17">
      <c r="A22" s="462" t="s">
        <v>156</v>
      </c>
      <c r="B22" s="463">
        <f t="shared" ca="1" si="2"/>
        <v>1497.6448076577674</v>
      </c>
      <c r="C22" s="463">
        <f t="shared" ca="1" si="3"/>
        <v>0</v>
      </c>
      <c r="D22" s="463">
        <f t="shared" ca="1" si="4"/>
        <v>643.39639614800001</v>
      </c>
      <c r="E22" s="463">
        <f t="shared" si="5"/>
        <v>28.771657114140293</v>
      </c>
      <c r="F22" s="463">
        <f t="shared" ca="1" si="6"/>
        <v>425.38750820624119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2595.2003691261493</v>
      </c>
    </row>
    <row r="23" spans="1:17">
      <c r="A23" s="462" t="s">
        <v>194</v>
      </c>
      <c r="B23" s="463">
        <f t="shared" ca="1" si="2"/>
        <v>139.9338538763451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139.9338538763451</v>
      </c>
    </row>
    <row r="24" spans="1:17">
      <c r="A24" s="462" t="s">
        <v>112</v>
      </c>
      <c r="B24" s="463">
        <f t="shared" ca="1" si="2"/>
        <v>539.4390324228699</v>
      </c>
      <c r="C24" s="463">
        <f t="shared" ca="1" si="3"/>
        <v>0</v>
      </c>
      <c r="D24" s="463">
        <f t="shared" si="4"/>
        <v>2.4969236160000006</v>
      </c>
      <c r="E24" s="463">
        <f t="shared" si="5"/>
        <v>8.1282122565290464</v>
      </c>
      <c r="F24" s="463">
        <f t="shared" si="6"/>
        <v>2617.6773981480128</v>
      </c>
      <c r="G24" s="463">
        <f t="shared" si="7"/>
        <v>0</v>
      </c>
      <c r="H24" s="463">
        <f t="shared" si="8"/>
        <v>0</v>
      </c>
      <c r="I24" s="463">
        <f t="shared" si="9"/>
        <v>0</v>
      </c>
      <c r="J24" s="463">
        <f t="shared" si="10"/>
        <v>151.27686105043779</v>
      </c>
      <c r="K24" s="463">
        <f t="shared" si="11"/>
        <v>0</v>
      </c>
      <c r="L24" s="463">
        <f t="shared" si="12"/>
        <v>0</v>
      </c>
      <c r="M24" s="463">
        <f t="shared" si="13"/>
        <v>0</v>
      </c>
      <c r="N24" s="463">
        <f t="shared" si="14"/>
        <v>0</v>
      </c>
      <c r="O24" s="463">
        <f t="shared" si="15"/>
        <v>0</v>
      </c>
      <c r="P24" s="464">
        <f t="shared" si="16"/>
        <v>0</v>
      </c>
      <c r="Q24" s="462">
        <f t="shared" ca="1" si="17"/>
        <v>3319.0184274938497</v>
      </c>
    </row>
    <row r="25" spans="1:17">
      <c r="A25" s="462" t="s">
        <v>657</v>
      </c>
      <c r="B25" s="463">
        <f t="shared" ca="1" si="2"/>
        <v>1274.6594823296828</v>
      </c>
      <c r="C25" s="463">
        <f t="shared" ca="1" si="3"/>
        <v>0</v>
      </c>
      <c r="D25" s="463">
        <f t="shared" si="4"/>
        <v>410.95620249200005</v>
      </c>
      <c r="E25" s="463">
        <f t="shared" si="5"/>
        <v>180.00103656416778</v>
      </c>
      <c r="F25" s="463">
        <f t="shared" si="6"/>
        <v>986.10242214505183</v>
      </c>
      <c r="G25" s="463">
        <f t="shared" si="7"/>
        <v>0</v>
      </c>
      <c r="H25" s="463">
        <f t="shared" si="8"/>
        <v>0</v>
      </c>
      <c r="I25" s="463">
        <f t="shared" si="9"/>
        <v>0</v>
      </c>
      <c r="J25" s="463">
        <f t="shared" si="10"/>
        <v>9.1922423771622158E-2</v>
      </c>
      <c r="K25" s="463">
        <f t="shared" si="11"/>
        <v>0</v>
      </c>
      <c r="L25" s="463">
        <f t="shared" si="12"/>
        <v>0</v>
      </c>
      <c r="M25" s="463">
        <f t="shared" si="13"/>
        <v>0</v>
      </c>
      <c r="N25" s="463">
        <f t="shared" si="14"/>
        <v>0</v>
      </c>
      <c r="O25" s="463">
        <f t="shared" si="15"/>
        <v>0</v>
      </c>
      <c r="P25" s="464">
        <f t="shared" si="16"/>
        <v>0</v>
      </c>
      <c r="Q25" s="462">
        <f t="shared" ca="1" si="17"/>
        <v>2851.8110659546742</v>
      </c>
    </row>
    <row r="26" spans="1:17" s="468" customFormat="1">
      <c r="A26" s="466" t="s">
        <v>574</v>
      </c>
      <c r="B26" s="823">
        <f t="shared" ca="1" si="2"/>
        <v>1.1740101321458019</v>
      </c>
      <c r="C26" s="467">
        <f t="shared" ca="1" si="3"/>
        <v>0</v>
      </c>
      <c r="D26" s="467">
        <f t="shared" si="4"/>
        <v>2.1049654774922182</v>
      </c>
      <c r="E26" s="467">
        <f t="shared" si="5"/>
        <v>72.159274715105028</v>
      </c>
      <c r="F26" s="467">
        <f t="shared" si="6"/>
        <v>0</v>
      </c>
      <c r="G26" s="467">
        <f t="shared" si="7"/>
        <v>20931.256309846525</v>
      </c>
      <c r="H26" s="467">
        <f t="shared" si="8"/>
        <v>3887.3484032931592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24894.042963464428</v>
      </c>
    </row>
    <row r="27" spans="1:17">
      <c r="A27" s="462" t="s">
        <v>564</v>
      </c>
      <c r="B27" s="463">
        <f t="shared" ca="1" si="2"/>
        <v>0</v>
      </c>
      <c r="C27" s="463">
        <f t="shared" ca="1" si="3"/>
        <v>0</v>
      </c>
      <c r="D27" s="463">
        <f t="shared" si="4"/>
        <v>0</v>
      </c>
      <c r="E27" s="463">
        <f t="shared" si="5"/>
        <v>0</v>
      </c>
      <c r="F27" s="463">
        <f t="shared" si="6"/>
        <v>0</v>
      </c>
      <c r="G27" s="463">
        <f t="shared" si="7"/>
        <v>514.44112107509216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514.44112107509216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8122.7903487344647</v>
      </c>
      <c r="C31" s="473">
        <f t="shared" ca="1" si="18"/>
        <v>0</v>
      </c>
      <c r="D31" s="473">
        <f t="shared" ca="1" si="18"/>
        <v>5996.3775138294932</v>
      </c>
      <c r="E31" s="473">
        <f t="shared" si="18"/>
        <v>833.27941040715405</v>
      </c>
      <c r="F31" s="473">
        <f t="shared" ca="1" si="18"/>
        <v>20354.528333756312</v>
      </c>
      <c r="G31" s="473">
        <f t="shared" si="18"/>
        <v>21445.697430921617</v>
      </c>
      <c r="H31" s="473">
        <f t="shared" si="18"/>
        <v>3887.3484032931592</v>
      </c>
      <c r="I31" s="473">
        <f t="shared" si="18"/>
        <v>0</v>
      </c>
      <c r="J31" s="473">
        <f t="shared" si="18"/>
        <v>151.36878347420941</v>
      </c>
      <c r="K31" s="473">
        <f t="shared" si="18"/>
        <v>0</v>
      </c>
      <c r="L31" s="473">
        <f t="shared" ca="1" si="18"/>
        <v>0</v>
      </c>
      <c r="M31" s="473">
        <f t="shared" si="18"/>
        <v>0</v>
      </c>
      <c r="N31" s="473">
        <f t="shared" ca="1" si="18"/>
        <v>0</v>
      </c>
      <c r="O31" s="473">
        <f t="shared" si="18"/>
        <v>0</v>
      </c>
      <c r="P31" s="474">
        <f t="shared" si="18"/>
        <v>0</v>
      </c>
      <c r="Q31" s="474">
        <f t="shared" ca="1" si="18"/>
        <v>60791.390224416413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0.18984017923461649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0.18984017923461649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0.18984017923461649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2018-06-27T09:32:58Z</dcterms:modified>
</cp:coreProperties>
</file>