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20" i="15"/>
  <c r="K36" i="14"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20" i="16"/>
  <c r="C22" s="1"/>
  <c r="D39" i="14" s="1"/>
  <c r="F8" i="48"/>
  <c r="F25" s="1"/>
  <c r="F31" s="1"/>
  <c r="C17" i="19"/>
  <c r="C19" s="1"/>
  <c r="D35" i="14" s="1"/>
  <c r="C29" i="20"/>
  <c r="C10" i="13"/>
  <c r="C16" i="48" s="1"/>
  <c r="C30" s="1"/>
  <c r="C18" i="15"/>
  <c r="C20" s="1"/>
  <c r="D36" i="14" s="1"/>
  <c r="K41"/>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3" i="48"/>
  <c r="C24"/>
  <c r="C28"/>
  <c r="C22"/>
  <c r="C25"/>
  <c r="C29"/>
  <c r="C21"/>
  <c r="C26"/>
  <c r="R13" i="14"/>
  <c r="R15" s="1"/>
  <c r="F14" i="48"/>
  <c r="D41" i="14" l="1"/>
  <c r="D53" s="1"/>
  <c r="D55" s="1"/>
  <c r="C27"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<sst xmlns="http://schemas.openxmlformats.org/spreadsheetml/2006/main" count="1979" uniqueCount="852">
  <si>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</si>
  <si>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</si>
  <si>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</si>
  <si>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</si>
  <si>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</si>
  <si>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</si>
  <si>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</si>
  <si>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</si>
  <si>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</si>
  <si>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</si>
  <si>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</si>
  <si>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</si>
  <si>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</si>
  <si>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</si>
  <si>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</si>
  <si>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</si>
  <si>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</si>
  <si>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</si>
  <si>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</si>
  <si>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</si>
  <si>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</si>
  <si>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</si>
  <si>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</si>
  <si>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</si>
  <si>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</si>
  <si>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</si>
  <si>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</si>
  <si>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</si>
  <si>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</si>
  <si>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</si>
  <si>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</si>
  <si>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</si>
  <si>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</si>
  <si>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</si>
  <si>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</si>
  <si>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</si>
  <si>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</si>
  <si>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</si>
  <si>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</si>
  <si>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</si>
  <si>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</si>
  <si>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</si>
  <si>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</si>
  <si>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</si>
  <si>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</si>
  <si>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</si>
  <si>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</si>
  <si>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</si>
  <si>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</si>
  <si>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</si>
  <si>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</si>
  <si>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</si>
  <si>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</si>
  <si>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</si>
  <si>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</si>
  <si>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</si>
  <si>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</si>
  <si>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</si>
  <si>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</si>
  <si>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</si>
  <si>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</si>
  <si>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</si>
  <si>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</si>
  <si>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</si>
  <si>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</si>
  <si>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</si>
  <si>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</si>
  <si>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</si>
  <si>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</si>
  <si>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</si>
  <si>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</si>
  <si>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</si>
  <si>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</si>
  <si>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</si>
  <si>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</si>
  <si>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</si>
  <si>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</si>
  <si>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</si>
  <si>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</si>
  <si>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</si>
  <si>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</si>
  <si>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</si>
  <si>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</si>
  <si>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</si>
  <si>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</si>
  <si>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</si>
  <si>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</si>
  <si>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</si>
  <si>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</si>
  <si>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</si>
  <si>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</si>
  <si>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</si>
  <si>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</si>
  <si>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</si>
  <si>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</si>
  <si>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</si>
  <si>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</si>
  <si>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</si>
  <si>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</si>
  <si>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</si>
  <si>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</si>
  <si>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</si>
  <si>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</si>
  <si>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</si>
  <si>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</si>
  <si>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</si>
  <si>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</si>
  <si>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</si>
  <si>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</si>
  <si>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</si>
  <si>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</si>
  <si>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</si>
  <si>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</si>
  <si>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</si>
  <si>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</si>
  <si>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</si>
  <si>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</si>
  <si>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</si>
  <si>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</si>
  <si>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</si>
  <si>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</si>
  <si>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</si>
  <si>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</si>
  <si>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</si>
  <si>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</si>
  <si>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</si>
  <si>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</si>
  <si>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</si>
  <si>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</si>
  <si>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</si>
  <si>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</si>
  <si>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</si>
  <si>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</si>
  <si>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</si>
  <si>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</si>
  <si>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</si>
  <si>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</si>
  <si>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</si>
  <si>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</si>
  <si>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</si>
  <si>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</si>
  <si>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</si>
  <si>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</si>
  <si>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</si>
  <si>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</si>
  <si>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</si>
  <si>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</si>
  <si>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</si>
  <si>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</si>
  <si>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</si>
  <si>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</si>
  <si>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</si>
  <si>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</si>
  <si>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</si>
  <si>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</si>
  <si>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</si>
  <si>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</si>
  <si>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</si>
  <si>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</si>
  <si>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</si>
  <si>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</si>
  <si>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</si>
  <si>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</si>
  <si>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</si>
  <si>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</si>
  <si>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</si>
  <si>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</si>
  <si>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</si>
  <si>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</si>
  <si>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</si>
  <si>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</si>
  <si>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</si>
  <si>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</si>
  <si>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</si>
  <si>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</si>
  <si>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</si>
  <si>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</si>
  <si>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</si>
  <si>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</si>
  <si>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</si>
  <si>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</si>
  <si>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</si>
  <si>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</si>
  <si>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</si>
  <si>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</si>
  <si>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</si>
  <si>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</si>
  <si>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</si>
  <si>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</si>
  <si>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</si>
  <si>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</si>
  <si>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</si>
  <si>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</si>
  <si>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</si>
  <si>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</si>
  <si>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</si>
  <si>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</si>
  <si>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</si>
  <si>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</si>
  <si>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</si>
  <si>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</si>
  <si>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</si>
  <si>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</si>
  <si>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</si>
  <si>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</si>
  <si>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</si>
  <si>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</si>
  <si>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</si>
  <si>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</si>
  <si>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</si>
  <si>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</si>
  <si>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</si>
  <si>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</si>
  <si>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</si>
  <si>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</si>
  <si>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</si>
  <si>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</si>
  <si>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</si>
  <si>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</si>
  <si>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</si>
  <si>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</si>
  <si>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</si>
  <si>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</si>
  <si>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</si>
  <si>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</si>
  <si>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</si>
  <si>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</si>
  <si>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</si>
  <si>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</si>
  <si>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</si>
  <si>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</si>
  <si>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</si>
  <si>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</si>
  <si>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</si>
  <si>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</si>
  <si>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</si>
  <si>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</si>
  <si>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</si>
  <si>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</si>
  <si>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</si>
  <si>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</si>
  <si>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</si>
  <si>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</si>
  <si>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</si>
  <si>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</si>
  <si>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</si>
  <si>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</si>
  <si>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</si>
  <si>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</si>
  <si>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</si>
  <si>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</si>
  <si>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</si>
  <si>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</si>
  <si>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</si>
  <si>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</si>
  <si>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</si>
  <si>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</si>
  <si>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</si>
  <si>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</si>
  <si>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</si>
  <si>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</si>
  <si>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</si>
  <si>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</si>
  <si>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</si>
  <si>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</si>
  <si>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</si>
  <si>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</si>
  <si>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</si>
  <si>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</si>
  <si>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</si>
  <si>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</si>
  <si>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</si>
  <si>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</si>
  <si>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</si>
  <si>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</si>
  <si>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</si>
  <si>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</si>
  <si>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</si>
  <si>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</si>
  <si>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</si>
  <si>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</si>
  <si>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</si>
  <si>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</si>
  <si>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</si>
  <si>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</si>
  <si>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</si>
  <si>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</si>
  <si>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</si>
  <si>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</si>
  <si>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</si>
  <si>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</si>
  <si>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</si>
  <si>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</si>
  <si>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</si>
  <si>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</si>
  <si>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</si>
  <si>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</si>
  <si>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</si>
  <si>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</si>
  <si>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</si>
  <si>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</si>
  <si>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</si>
  <si>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</si>
  <si>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</si>
  <si>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</si>
  <si>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</si>
  <si>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</si>
  <si>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</si>
  <si>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</si>
  <si>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</si>
  <si>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</si>
  <si>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</si>
  <si>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</si>
  <si>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</si>
  <si>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</si>
  <si>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</si>
  <si>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</si>
  <si>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</si>
  <si>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</si>
  <si>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</si>
  <si>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</si>
  <si>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</si>
  <si>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</si>
  <si>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</si>
  <si>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</si>
  <si>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</si>
  <si>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</si>
  <si>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</si>
  <si>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</si>
  <si>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</si>
  <si>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</si>
  <si>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</si>
  <si>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</si>
  <si>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</si>
  <si>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</si>
  <si>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</si>
  <si>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</si>
  <si>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</si>
  <si>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</si>
  <si>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</si>
  <si>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</si>
  <si>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</si>
  <si>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</si>
  <si>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</si>
  <si>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</si>
  <si>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</si>
  <si>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</si>
  <si>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</si>
  <si>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</si>
  <si>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</si>
  <si>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</si>
  <si>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</si>
  <si>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</si>
  <si>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</si>
  <si>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</si>
  <si>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</si>
  <si>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</si>
  <si>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</si>
  <si>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</si>
  <si>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</si>
  <si>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</si>
  <si>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</si>
  <si>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</si>
  <si>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</si>
  <si>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</si>
  <si>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</si>
  <si>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</si>
  <si>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</si>
  <si>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</si>
  <si>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</si>
  <si>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</si>
  <si>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</si>
  <si>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</si>
  <si>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</si>
  <si>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</si>
  <si>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</si>
  <si>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</si>
  <si>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</si>
  <si>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</si>
  <si>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</si>
  <si>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</si>
  <si>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</si>
  <si>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</si>
  <si>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</si>
  <si>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</si>
  <si>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</si>
  <si>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</si>
  <si>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</si>
  <si>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</si>
  <si>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</si>
  <si>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</si>
  <si>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</si>
  <si>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</si>
  <si>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</si>
  <si>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</si>
  <si>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</si>
  <si>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</si>
  <si>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</si>
  <si>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</si>
  <si>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</si>
  <si>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</si>
  <si>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</si>
  <si>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</si>
  <si>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</si>
  <si>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</si>
  <si>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</si>
  <si>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</si>
  <si>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</si>
  <si>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</si>
  <si>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</si>
  <si>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</si>
  <si>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</si>
  <si>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</si>
  <si>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</si>
  <si>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</si>
  <si>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</si>
  <si>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</si>
  <si>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</si>
  <si>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</si>
  <si>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</si>
  <si>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</si>
  <si>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</si>
  <si>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</si>
  <si>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</si>
  <si>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</si>
  <si>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</si>
  <si>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</si>
  <si>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</si>
  <si>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</si>
  <si>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</si>
  <si>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</si>
  <si>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</si>
  <si>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</si>
  <si>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</si>
  <si>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</si>
  <si>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</si>
  <si>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</si>
  <si>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</si>
  <si>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</si>
  <si>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</si>
  <si>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</si>
  <si>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</si>
  <si>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</si>
  <si>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</si>
  <si>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</si>
  <si>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</si>
  <si>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</si>
  <si>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</si>
  <si>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</si>
  <si>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</si>
  <si>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</si>
  <si>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</si>
  <si>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</si>
  <si>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</si>
  <si>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</si>
  <si>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</si>
  <si>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</si>
  <si>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</si>
  <si>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</si>
  <si>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</si>
  <si>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</si>
  <si>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</si>
  <si>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</si>
  <si>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</si>
  <si>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</si>
  <si>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</si>
  <si>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</si>
  <si>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</si>
  <si>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</si>
  <si>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</si>
  <si>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</si>
  <si>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</si>
  <si>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</si>
  <si>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</si>
  <si>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</si>
  <si>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</si>
  <si>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</si>
  <si>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</si>
  <si>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</si>
  <si>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</si>
  <si>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</si>
  <si>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</si>
  <si>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</si>
  <si>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</si>
  <si>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</si>
  <si>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</si>
  <si>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</si>
  <si>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</si>
  <si>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</si>
  <si>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</si>
  <si>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</si>
  <si>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</si>
  <si>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</si>
  <si>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</si>
  <si>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</si>
  <si>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</si>
  <si>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</si>
  <si>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</si>
  <si>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</si>
  <si>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</si>
  <si>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</si>
  <si>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</si>
  <si>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</si>
  <si>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</si>
  <si>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</si>
  <si>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</si>
  <si>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</si>
  <si>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</si>
  <si>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</si>
  <si>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</si>
  <si>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</si>
  <si>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</si>
  <si>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</si>
  <si>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</si>
  <si>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</si>
  <si>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</si>
  <si>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</si>
  <si>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</si>
  <si>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</si>
  <si>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</si>
  <si>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</si>
  <si>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</si>
  <si>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</si>
  <si>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</si>
  <si>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</si>
  <si>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</si>
  <si>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</si>
  <si>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</si>
  <si>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</si>
  <si>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</si>
  <si>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</si>
  <si>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</si>
  <si>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</si>
  <si>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</si>
  <si>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</si>
  <si>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</si>
  <si>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</si>
  <si>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</si>
  <si>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</si>
  <si>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</si>
  <si>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</si>
  <si>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</si>
  <si>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</si>
  <si>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</si>
  <si>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</si>
  <si>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</si>
  <si>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</si>
  <si>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</si>
  <si>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</si>
  <si>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</si>
  <si>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</si>
  <si>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</si>
  <si>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</si>
  <si>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</si>
  <si>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</si>
  <si>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</si>
  <si>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</si>
  <si>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</si>
  <si>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</si>
  <si>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</si>
  <si>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</si>
  <si>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</si>
  <si>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</si>
  <si>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</si>
  <si>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</si>
  <si>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</si>
  <si>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</si>
  <si>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</si>
  <si>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</si>
  <si>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</si>
  <si>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</si>
  <si>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</si>
  <si>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</si>
  <si>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</si>
  <si>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</si>
  <si>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</si>
  <si>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</si>
  <si>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</si>
  <si>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</si>
  <si>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</si>
  <si>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</si>
  <si>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</si>
  <si>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</si>
  <si>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</si>
  <si>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</si>
  <si>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</si>
  <si>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</si>
  <si>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</si>
  <si>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</si>
  <si>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</si>
  <si>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</si>
  <si>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</si>
  <si>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</si>
  <si>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</si>
  <si>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</si>
  <si>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</si>
  <si>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</si>
  <si>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</si>
  <si>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</si>
  <si>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</si>
  <si>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</si>
  <si>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</si>
  <si>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</si>
  <si>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</si>
  <si>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</si>
  <si>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</si>
  <si>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</si>
  <si>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</si>
  <si>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</si>
  <si>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</si>
  <si>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</si>
  <si>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</si>
  <si>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</si>
  <si>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</si>
  <si>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</si>
  <si>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</si>
  <si>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</si>
  <si>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</si>
  <si>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</si>
  <si>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</si>
  <si>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</si>
  <si>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</si>
  <si>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</si>
  <si>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</si>
  <si>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</si>
  <si>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</si>
  <si>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</si>
  <si>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</si>
  <si>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</si>
  <si>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</si>
  <si>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</si>
  <si>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</si>
  <si>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</si>
  <si>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</si>
  <si>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</si>
  <si>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</si>
  <si>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</si>
  <si>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</si>
  <si>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</si>
  <si>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</si>
  <si>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</si>
  <si>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</si>
  <si>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</si>
  <si>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</si>
  <si>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</si>
  <si>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</si>
  <si>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</si>
  <si>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</si>
  <si>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</si>
  <si>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</si>
  <si>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</si>
  <si>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</si>
  <si>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</si>
  <si>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</si>
  <si>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</si>
  <si>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</si>
  <si>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</si>
  <si>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</si>
  <si>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</si>
  <si>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</si>
  <si>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</si>
  <si>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</si>
  <si>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</si>
  <si>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</si>
  <si>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</si>
  <si>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</si>
  <si>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</si>
  <si>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</si>
  <si>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</si>
  <si>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</si>
  <si>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</si>
  <si>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</si>
  <si>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</si>
  <si>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</si>
  <si>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</si>
  <si>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</si>
  <si>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</si>
  <si>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</si>
  <si>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</si>
  <si>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</si>
  <si>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</si>
  <si>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</si>
  <si>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</si>
  <si>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</si>
  <si>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</si>
  <si>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</si>
  <si>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</si>
  <si>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</si>
  <si>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</si>
  <si>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</si>
  <si>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</si>
  <si>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</si>
  <si>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</si>
  <si>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</si>
  <si>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</si>
  <si>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</si>
  <si>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</si>
  <si>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</si>
  <si>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</si>
  <si>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</si>
  <si>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</si>
  <si>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</si>
  <si>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</si>
  <si>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</si>
  <si>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</si>
  <si>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</si>
  <si>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</si>
  <si>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</si>
  <si>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</si>
  <si>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</si>
  <si>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</si>
  <si>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</si>
  <si>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</si>
  <si>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</si>
  <si>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</si>
  <si>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</si>
  <si>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</si>
  <si>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</si>
  <si>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</si>
  <si>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</si>
  <si>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</si>
  <si>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</si>
  <si>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</si>
  <si>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</si>
  <si>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</si>
  <si>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</si>
  <si>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</si>
  <si>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</si>
  <si>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</si>
  <si>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</si>
  <si>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</si>
  <si>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</si>
  <si>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</si>
  <si>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</si>
  <si>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</si>
  <si>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</si>
  <si>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</si>
  <si>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</si>
  <si>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</si>
  <si>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</si>
  <si>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</si>
  <si>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</si>
  <si>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</si>
  <si>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</si>
  <si>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</si>
  <si>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</si>
  <si>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</si>
  <si>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</si>
  <si>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</si>
  <si>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</si>
  <si>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</si>
  <si>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</si>
  <si>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</si>
  <si>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</si>
  <si>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</si>
  <si>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</si>
  <si>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</si>
  <si>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</si>
  <si>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</si>
  <si>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</si>
  <si>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</si>
  <si>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</si>
  <si>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</si>
  <si>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</si>
  <si>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</si>
  <si>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</si>
  <si>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</si>
  <si>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</si>
  <si>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</si>
  <si>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</si>
  <si>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</si>
  <si>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</si>
  <si>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</si>
  <si>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</si>
  <si>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</si>
  <si>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</si>
  <si>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</si>
  <si>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</si>
  <si>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</si>
  <si>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</si>
  <si>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</si>
  <si>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</si>
  <si>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</si>
  <si>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</si>
  <si>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</si>
  <si>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</si>
  <si>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</si>
  <si>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</si>
  <si>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</si>
  <si>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</si>
  <si>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</si>
  <si>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</si>
  <si>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</si>
  <si>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</si>
  <si>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</si>
  <si>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</si>
  <si>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</si>
  <si>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</si>
  <si>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</si>
  <si>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</si>
  <si>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</si>
  <si>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</si>
  <si>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</si>
  <si>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</si>
  <si>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</si>
  <si>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</si>
  <si>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</si>
  <si>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</si>
  <si>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</si>
  <si>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</si>
  <si>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</si>
  <si>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</si>
  <si>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</si>
  <si>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</si>
  <si>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</si>
  <si>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</si>
  <si>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</si>
  <si>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</si>
  <si>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</si>
  <si>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</si>
  <si>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</si>
  <si>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</si>
  <si>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</si>
  <si>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</si>
  <si>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</si>
  <si>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</si>
  <si>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</si>
  <si>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</si>
  <si>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</si>
  <si>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</si>
  <si>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</si>
  <si>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</si>
  <si>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</si>
  <si>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71053</t>
  </si>
  <si>
    <t>SINT-TRUIDEN</t>
  </si>
  <si>
    <t>Cultuurgrond (ha)</t>
  </si>
  <si>
    <t>Paarden&amp;pony's 200 - 600 kg</t>
  </si>
  <si>
    <t>Paarden&amp;pony's &lt; 200 kg</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</si>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</sst>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376576.90705114405</c:v>
                </c:pt>
                <c:pt idx="1">
                  <c:v>190586.47531729937</c:v>
                </c:pt>
                <c:pt idx="2">
                  <c:v>2350.6819999999998</c:v>
                </c:pt>
                <c:pt idx="3">
                  <c:v>45523.637670968557</c:v>
                </c:pt>
                <c:pt idx="4">
                  <c:v>141970.19695464204</c:v>
                </c:pt>
                <c:pt idx="5">
                  <c:v>267266.45261522371</c:v>
                </c:pt>
                <c:pt idx="6">
                  <c:v>6110.0492474617886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376576.90705114405</c:v>
                </c:pt>
                <c:pt idx="1">
                  <c:v>190586.47531729937</c:v>
                </c:pt>
                <c:pt idx="2">
                  <c:v>2350.6819999999998</c:v>
                </c:pt>
                <c:pt idx="3">
                  <c:v>45523.637670968557</c:v>
                </c:pt>
                <c:pt idx="4">
                  <c:v>141970.19695464204</c:v>
                </c:pt>
                <c:pt idx="5">
                  <c:v>267266.45261522371</c:v>
                </c:pt>
                <c:pt idx="6">
                  <c:v>6110.0492474617886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75553.912170631767</c:v>
                </c:pt>
                <c:pt idx="1">
                  <c:v>38710.576794958732</c:v>
                </c:pt>
                <c:pt idx="2">
                  <c:v>474.16026481174237</c:v>
                </c:pt>
                <c:pt idx="3">
                  <c:v>11388.010390627416</c:v>
                </c:pt>
                <c:pt idx="4">
                  <c:v>29532.645632003561</c:v>
                </c:pt>
                <c:pt idx="5">
                  <c:v>67491.19711043303</c:v>
                </c:pt>
                <c:pt idx="6">
                  <c:v>1561.9207145680011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75553.912170631767</c:v>
                </c:pt>
                <c:pt idx="1">
                  <c:v>38710.576794958732</c:v>
                </c:pt>
                <c:pt idx="2">
                  <c:v>474.16026481174237</c:v>
                </c:pt>
                <c:pt idx="3">
                  <c:v>11388.010390627416</c:v>
                </c:pt>
                <c:pt idx="4">
                  <c:v>29532.645632003561</c:v>
                </c:pt>
                <c:pt idx="5">
                  <c:v>67491.19711043303</c:v>
                </c:pt>
                <c:pt idx="6">
                  <c:v>1561.9207145680011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71053</v>
      </c>
      <c r="B6" s="398"/>
      <c r="C6" s="399"/>
    </row>
    <row r="7" spans="1:7" s="396" customFormat="1" ht="15.75" customHeight="1">
      <c r="A7" s="400" t="str">
        <f>txtMunicipality</f>
        <v>SINT-TRUIDEN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71053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17135</v>
      </c>
      <c r="C9" s="338">
        <v>18529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6189</v>
      </c>
    </row>
    <row r="15" spans="1:6">
      <c r="A15" s="1212" t="s">
        <v>184</v>
      </c>
      <c r="B15" s="335">
        <v>4</v>
      </c>
    </row>
    <row r="16" spans="1:6">
      <c r="A16" s="1212" t="s">
        <v>6</v>
      </c>
      <c r="B16" s="335">
        <v>145</v>
      </c>
    </row>
    <row r="17" spans="1:6">
      <c r="A17" s="1212" t="s">
        <v>7</v>
      </c>
      <c r="B17" s="335">
        <v>1006</v>
      </c>
    </row>
    <row r="18" spans="1:6">
      <c r="A18" s="1212" t="s">
        <v>8</v>
      </c>
      <c r="B18" s="335">
        <v>991</v>
      </c>
    </row>
    <row r="19" spans="1:6">
      <c r="A19" s="1212" t="s">
        <v>9</v>
      </c>
      <c r="B19" s="335">
        <v>763</v>
      </c>
    </row>
    <row r="20" spans="1:6">
      <c r="A20" s="1212" t="s">
        <v>10</v>
      </c>
      <c r="B20" s="335">
        <v>493</v>
      </c>
    </row>
    <row r="21" spans="1:6">
      <c r="A21" s="1212" t="s">
        <v>11</v>
      </c>
      <c r="B21" s="335">
        <v>1722</v>
      </c>
    </row>
    <row r="22" spans="1:6">
      <c r="A22" s="1212" t="s">
        <v>12</v>
      </c>
      <c r="B22" s="335">
        <v>7379</v>
      </c>
    </row>
    <row r="23" spans="1:6">
      <c r="A23" s="1212" t="s">
        <v>13</v>
      </c>
      <c r="B23" s="335">
        <v>39</v>
      </c>
    </row>
    <row r="24" spans="1:6">
      <c r="A24" s="1212" t="s">
        <v>14</v>
      </c>
      <c r="B24" s="335">
        <v>6</v>
      </c>
    </row>
    <row r="25" spans="1:6">
      <c r="A25" s="1212" t="s">
        <v>15</v>
      </c>
      <c r="B25" s="335">
        <v>211</v>
      </c>
    </row>
    <row r="26" spans="1:6">
      <c r="A26" s="1212" t="s">
        <v>16</v>
      </c>
      <c r="B26" s="335">
        <v>198</v>
      </c>
    </row>
    <row r="27" spans="1:6">
      <c r="A27" s="1212" t="s">
        <v>17</v>
      </c>
      <c r="B27" s="335">
        <v>3</v>
      </c>
    </row>
    <row r="28" spans="1:6" s="341" customFormat="1">
      <c r="A28" s="1213" t="s">
        <v>18</v>
      </c>
      <c r="B28" s="1213">
        <v>147417</v>
      </c>
    </row>
    <row r="29" spans="1:6">
      <c r="A29" s="1213" t="s">
        <v>836</v>
      </c>
      <c r="B29" s="1213">
        <v>141</v>
      </c>
      <c r="C29" s="341"/>
      <c r="D29" s="341"/>
      <c r="E29" s="341"/>
      <c r="F29" s="341"/>
    </row>
    <row r="30" spans="1:6">
      <c r="A30" s="1208" t="s">
        <v>837</v>
      </c>
      <c r="B30" s="1208">
        <v>22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271893</v>
      </c>
    </row>
    <row r="36" spans="1:6">
      <c r="A36" s="1212" t="s">
        <v>25</v>
      </c>
      <c r="B36" s="1212" t="s">
        <v>27</v>
      </c>
      <c r="C36" s="335">
        <v>0</v>
      </c>
      <c r="D36" s="335">
        <v>0</v>
      </c>
      <c r="E36" s="335">
        <v>11</v>
      </c>
      <c r="F36" s="335">
        <v>40202</v>
      </c>
    </row>
    <row r="37" spans="1:6">
      <c r="A37" s="1212" t="s">
        <v>25</v>
      </c>
      <c r="B37" s="1212" t="s">
        <v>28</v>
      </c>
      <c r="C37" s="335">
        <v>0</v>
      </c>
      <c r="D37" s="335">
        <v>0</v>
      </c>
      <c r="E37" s="335">
        <v>0</v>
      </c>
      <c r="F37" s="335">
        <v>0</v>
      </c>
    </row>
    <row r="38" spans="1:6">
      <c r="A38" s="1212" t="s">
        <v>25</v>
      </c>
      <c r="B38" s="1212" t="s">
        <v>29</v>
      </c>
      <c r="C38" s="335">
        <v>1</v>
      </c>
      <c r="D38" s="335">
        <v>112485</v>
      </c>
      <c r="E38" s="335">
        <v>0</v>
      </c>
      <c r="F38" s="335">
        <v>0</v>
      </c>
    </row>
    <row r="39" spans="1:6">
      <c r="A39" s="1212" t="s">
        <v>30</v>
      </c>
      <c r="B39" s="1212" t="s">
        <v>31</v>
      </c>
      <c r="C39" s="335">
        <v>10304</v>
      </c>
      <c r="D39" s="335">
        <v>178871448</v>
      </c>
      <c r="E39" s="335">
        <v>17285</v>
      </c>
      <c r="F39" s="335">
        <v>62937383</v>
      </c>
    </row>
    <row r="40" spans="1:6">
      <c r="A40" s="1212" t="s">
        <v>30</v>
      </c>
      <c r="B40" s="1212" t="s">
        <v>29</v>
      </c>
      <c r="C40" s="335">
        <v>0</v>
      </c>
      <c r="D40" s="335">
        <v>0</v>
      </c>
      <c r="E40" s="335">
        <v>1</v>
      </c>
      <c r="F40" s="335">
        <v>4809</v>
      </c>
    </row>
    <row r="41" spans="1:6">
      <c r="A41" s="1212" t="s">
        <v>32</v>
      </c>
      <c r="B41" s="1212" t="s">
        <v>33</v>
      </c>
      <c r="C41" s="335">
        <v>72</v>
      </c>
      <c r="D41" s="335">
        <v>3012855</v>
      </c>
      <c r="E41" s="335">
        <v>228</v>
      </c>
      <c r="F41" s="335">
        <v>4084340</v>
      </c>
    </row>
    <row r="42" spans="1:6">
      <c r="A42" s="1212" t="s">
        <v>32</v>
      </c>
      <c r="B42" s="1212" t="s">
        <v>34</v>
      </c>
      <c r="C42" s="335">
        <v>3</v>
      </c>
      <c r="D42" s="335">
        <v>130880</v>
      </c>
      <c r="E42" s="335">
        <v>4</v>
      </c>
      <c r="F42" s="335">
        <v>54192</v>
      </c>
    </row>
    <row r="43" spans="1:6">
      <c r="A43" s="1212" t="s">
        <v>32</v>
      </c>
      <c r="B43" s="1212" t="s">
        <v>35</v>
      </c>
      <c r="C43" s="335">
        <v>0</v>
      </c>
      <c r="D43" s="335">
        <v>0</v>
      </c>
      <c r="E43" s="335">
        <v>0</v>
      </c>
      <c r="F43" s="335">
        <v>0</v>
      </c>
    </row>
    <row r="44" spans="1:6">
      <c r="A44" s="1212" t="s">
        <v>32</v>
      </c>
      <c r="B44" s="1212" t="s">
        <v>36</v>
      </c>
      <c r="C44" s="335">
        <v>13</v>
      </c>
      <c r="D44" s="335">
        <v>24544139</v>
      </c>
      <c r="E44" s="335">
        <v>31</v>
      </c>
      <c r="F44" s="335">
        <v>64862071</v>
      </c>
    </row>
    <row r="45" spans="1:6">
      <c r="A45" s="1212" t="s">
        <v>32</v>
      </c>
      <c r="B45" s="1212" t="s">
        <v>37</v>
      </c>
      <c r="C45" s="335">
        <v>4</v>
      </c>
      <c r="D45" s="335">
        <v>38461</v>
      </c>
      <c r="E45" s="335">
        <v>10</v>
      </c>
      <c r="F45" s="335">
        <v>820550</v>
      </c>
    </row>
    <row r="46" spans="1:6">
      <c r="A46" s="1212" t="s">
        <v>32</v>
      </c>
      <c r="B46" s="1212" t="s">
        <v>38</v>
      </c>
      <c r="C46" s="335">
        <v>0</v>
      </c>
      <c r="D46" s="335">
        <v>0</v>
      </c>
      <c r="E46" s="335">
        <v>0</v>
      </c>
      <c r="F46" s="335">
        <v>0</v>
      </c>
    </row>
    <row r="47" spans="1:6">
      <c r="A47" s="1212" t="s">
        <v>32</v>
      </c>
      <c r="B47" s="1212" t="s">
        <v>39</v>
      </c>
      <c r="C47" s="335">
        <v>5</v>
      </c>
      <c r="D47" s="335">
        <v>124584</v>
      </c>
      <c r="E47" s="335">
        <v>9</v>
      </c>
      <c r="F47" s="335">
        <v>156607</v>
      </c>
    </row>
    <row r="48" spans="1:6">
      <c r="A48" s="1212" t="s">
        <v>32</v>
      </c>
      <c r="B48" s="1212" t="s">
        <v>29</v>
      </c>
      <c r="C48" s="335">
        <v>1</v>
      </c>
      <c r="D48" s="335">
        <v>46533</v>
      </c>
      <c r="E48" s="335">
        <v>2</v>
      </c>
      <c r="F48" s="335">
        <v>9629</v>
      </c>
    </row>
    <row r="49" spans="1:6">
      <c r="A49" s="1212" t="s">
        <v>32</v>
      </c>
      <c r="B49" s="1212" t="s">
        <v>40</v>
      </c>
      <c r="C49" s="335">
        <v>6</v>
      </c>
      <c r="D49" s="335">
        <v>253224</v>
      </c>
      <c r="E49" s="335">
        <v>7</v>
      </c>
      <c r="F49" s="335">
        <v>238101</v>
      </c>
    </row>
    <row r="50" spans="1:6">
      <c r="A50" s="1212" t="s">
        <v>32</v>
      </c>
      <c r="B50" s="1212" t="s">
        <v>41</v>
      </c>
      <c r="C50" s="335">
        <v>27</v>
      </c>
      <c r="D50" s="335">
        <v>5194126</v>
      </c>
      <c r="E50" s="335">
        <v>42</v>
      </c>
      <c r="F50" s="335">
        <v>5429170</v>
      </c>
    </row>
    <row r="51" spans="1:6">
      <c r="A51" s="1212" t="s">
        <v>42</v>
      </c>
      <c r="B51" s="1212" t="s">
        <v>43</v>
      </c>
      <c r="C51" s="335">
        <v>34</v>
      </c>
      <c r="D51" s="335">
        <v>5104516</v>
      </c>
      <c r="E51" s="335">
        <v>236</v>
      </c>
      <c r="F51" s="335">
        <v>8869983</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181</v>
      </c>
      <c r="F54" s="335">
        <v>2350682</v>
      </c>
    </row>
    <row r="55" spans="1:6">
      <c r="A55" s="1212" t="s">
        <v>46</v>
      </c>
      <c r="B55" s="1212" t="s">
        <v>29</v>
      </c>
      <c r="C55" s="335">
        <v>0</v>
      </c>
      <c r="D55" s="335">
        <v>0</v>
      </c>
      <c r="E55" s="335">
        <v>0</v>
      </c>
      <c r="F55" s="335">
        <v>0</v>
      </c>
    </row>
    <row r="56" spans="1:6">
      <c r="A56" s="1212" t="s">
        <v>48</v>
      </c>
      <c r="B56" s="1212" t="s">
        <v>29</v>
      </c>
      <c r="C56" s="335">
        <v>309</v>
      </c>
      <c r="D56" s="335">
        <v>89275036</v>
      </c>
      <c r="E56" s="335">
        <v>382</v>
      </c>
      <c r="F56" s="335">
        <v>4260094</v>
      </c>
    </row>
    <row r="57" spans="1:6">
      <c r="A57" s="1212" t="s">
        <v>49</v>
      </c>
      <c r="B57" s="1212" t="s">
        <v>50</v>
      </c>
      <c r="C57" s="335">
        <v>101</v>
      </c>
      <c r="D57" s="335">
        <v>5633042</v>
      </c>
      <c r="E57" s="335">
        <v>240</v>
      </c>
      <c r="F57" s="335">
        <v>7996871</v>
      </c>
    </row>
    <row r="58" spans="1:6">
      <c r="A58" s="1212" t="s">
        <v>49</v>
      </c>
      <c r="B58" s="1212" t="s">
        <v>51</v>
      </c>
      <c r="C58" s="335">
        <v>75</v>
      </c>
      <c r="D58" s="335">
        <v>23312406</v>
      </c>
      <c r="E58" s="335">
        <v>132</v>
      </c>
      <c r="F58" s="335">
        <v>11704021</v>
      </c>
    </row>
    <row r="59" spans="1:6">
      <c r="A59" s="1212" t="s">
        <v>49</v>
      </c>
      <c r="B59" s="1212" t="s">
        <v>52</v>
      </c>
      <c r="C59" s="335">
        <v>328</v>
      </c>
      <c r="D59" s="335">
        <v>22042634</v>
      </c>
      <c r="E59" s="335">
        <v>683</v>
      </c>
      <c r="F59" s="335">
        <v>34524137</v>
      </c>
    </row>
    <row r="60" spans="1:6">
      <c r="A60" s="1212" t="s">
        <v>49</v>
      </c>
      <c r="B60" s="1212" t="s">
        <v>53</v>
      </c>
      <c r="C60" s="335">
        <v>112</v>
      </c>
      <c r="D60" s="335">
        <v>7652760</v>
      </c>
      <c r="E60" s="335">
        <v>224</v>
      </c>
      <c r="F60" s="335">
        <v>7214668</v>
      </c>
    </row>
    <row r="61" spans="1:6">
      <c r="A61" s="1212" t="s">
        <v>49</v>
      </c>
      <c r="B61" s="1212" t="s">
        <v>54</v>
      </c>
      <c r="C61" s="335">
        <v>212</v>
      </c>
      <c r="D61" s="335">
        <v>22614551</v>
      </c>
      <c r="E61" s="335">
        <v>834</v>
      </c>
      <c r="F61" s="335">
        <v>25625699</v>
      </c>
    </row>
    <row r="62" spans="1:6">
      <c r="A62" s="1212" t="s">
        <v>49</v>
      </c>
      <c r="B62" s="1212" t="s">
        <v>55</v>
      </c>
      <c r="C62" s="335">
        <v>32</v>
      </c>
      <c r="D62" s="335">
        <v>5485540</v>
      </c>
      <c r="E62" s="335">
        <v>53</v>
      </c>
      <c r="F62" s="335">
        <v>2227669</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2</v>
      </c>
      <c r="F65" s="335">
        <v>240405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290088</v>
      </c>
      <c r="E68" s="335">
        <v>36</v>
      </c>
      <c r="F68" s="335">
        <v>1130697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236356984</v>
      </c>
      <c r="E73" s="335">
        <v>201548004.62065986</v>
      </c>
    </row>
    <row r="74" spans="1:6">
      <c r="A74" s="1212" t="s">
        <v>64</v>
      </c>
      <c r="B74" s="1212" t="s">
        <v>727</v>
      </c>
      <c r="C74" s="1212" t="s">
        <v>728</v>
      </c>
      <c r="D74" s="335">
        <v>19555996.92521476</v>
      </c>
      <c r="E74" s="335">
        <v>17534596.83379944</v>
      </c>
    </row>
    <row r="75" spans="1:6">
      <c r="A75" s="1212" t="s">
        <v>65</v>
      </c>
      <c r="B75" s="1212" t="s">
        <v>725</v>
      </c>
      <c r="C75" s="1212" t="s">
        <v>729</v>
      </c>
      <c r="D75" s="335">
        <v>79149657</v>
      </c>
      <c r="E75" s="335">
        <v>73746849.095485121</v>
      </c>
    </row>
    <row r="76" spans="1:6">
      <c r="A76" s="1212" t="s">
        <v>65</v>
      </c>
      <c r="B76" s="1212" t="s">
        <v>727</v>
      </c>
      <c r="C76" s="1212" t="s">
        <v>730</v>
      </c>
      <c r="D76" s="335">
        <v>990659.92521476164</v>
      </c>
      <c r="E76" s="335">
        <v>822502.10102961864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1614202.1495704767</v>
      </c>
      <c r="C83" s="335">
        <v>1549853.9494049749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6074.1922087206767</v>
      </c>
    </row>
    <row r="92" spans="1:6">
      <c r="A92" s="1208" t="s">
        <v>69</v>
      </c>
      <c r="B92" s="338">
        <v>14878.379662886959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6223</v>
      </c>
    </row>
    <row r="98" spans="1:6">
      <c r="A98" s="1212" t="s">
        <v>72</v>
      </c>
      <c r="B98" s="335">
        <v>8</v>
      </c>
    </row>
    <row r="99" spans="1:6">
      <c r="A99" s="1212" t="s">
        <v>73</v>
      </c>
      <c r="B99" s="335">
        <v>93</v>
      </c>
    </row>
    <row r="100" spans="1:6">
      <c r="A100" s="1212" t="s">
        <v>74</v>
      </c>
      <c r="B100" s="335">
        <v>422</v>
      </c>
    </row>
    <row r="101" spans="1:6">
      <c r="A101" s="1212" t="s">
        <v>75</v>
      </c>
      <c r="B101" s="335">
        <v>99</v>
      </c>
    </row>
    <row r="102" spans="1:6">
      <c r="A102" s="1212" t="s">
        <v>76</v>
      </c>
      <c r="B102" s="335">
        <v>212</v>
      </c>
    </row>
    <row r="103" spans="1:6">
      <c r="A103" s="1212" t="s">
        <v>77</v>
      </c>
      <c r="B103" s="335">
        <v>294</v>
      </c>
    </row>
    <row r="104" spans="1:6">
      <c r="A104" s="1212" t="s">
        <v>78</v>
      </c>
      <c r="B104" s="335">
        <v>7679</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162</v>
      </c>
    </row>
    <row r="130" spans="1:6">
      <c r="A130" s="1212" t="s">
        <v>295</v>
      </c>
      <c r="B130" s="335">
        <v>0</v>
      </c>
    </row>
    <row r="131" spans="1:6">
      <c r="A131" s="1212" t="s">
        <v>296</v>
      </c>
      <c r="B131" s="335">
        <v>3</v>
      </c>
    </row>
    <row r="132" spans="1:6">
      <c r="A132" s="1208" t="s">
        <v>297</v>
      </c>
      <c r="B132" s="338">
        <v>25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245720.85211630643</v>
      </c>
      <c r="C3" s="43" t="s">
        <v>170</v>
      </c>
      <c r="D3" s="43"/>
      <c r="E3" s="156"/>
      <c r="F3" s="43"/>
      <c r="G3" s="43"/>
      <c r="H3" s="43"/>
      <c r="I3" s="43"/>
      <c r="J3" s="43"/>
      <c r="K3" s="96"/>
    </row>
    <row r="4" spans="1:11">
      <c r="A4" s="366" t="s">
        <v>171</v>
      </c>
      <c r="B4" s="49">
        <f>IF(ISERROR('SEAP template'!B69),0,'SEAP template'!B69)</f>
        <v>21471.421871607636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5.6678823529411773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0.2017117861164302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8.0969747899159685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34.071428571428577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2350.6819999999998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2350.6819999999998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0.2017117861164302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474.16026481174237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62942.192000000003</v>
      </c>
      <c r="C5" s="17">
        <f>IF(ISERROR('Eigen informatie GS &amp; warmtenet'!B57),0,'Eigen informatie GS &amp; warmtenet'!B57)</f>
        <v>0</v>
      </c>
      <c r="D5" s="30">
        <f>(SUM(HH_hh_gas_kWh,HH_rest_gas_kWh)/1000)*0.902</f>
        <v>161342.04609600001</v>
      </c>
      <c r="E5" s="17">
        <f>B46*B57</f>
        <v>8783.3871515173814</v>
      </c>
      <c r="F5" s="17">
        <f>B51*B62</f>
        <v>101301.76721275835</v>
      </c>
      <c r="G5" s="18"/>
      <c r="H5" s="17"/>
      <c r="I5" s="17"/>
      <c r="J5" s="17">
        <f>B50*B61+C50*C61</f>
        <v>0</v>
      </c>
      <c r="K5" s="17"/>
      <c r="L5" s="17"/>
      <c r="M5" s="17"/>
      <c r="N5" s="17">
        <f>B48*B59+C48*C59</f>
        <v>35052.685715480984</v>
      </c>
      <c r="O5" s="17">
        <f>B69*B70*B71</f>
        <v>279.8366666666667</v>
      </c>
      <c r="P5" s="17">
        <f>B77*B78*B79/1000-B77*B78*B79/1000/B80</f>
        <v>800.8</v>
      </c>
    </row>
    <row r="6" spans="1:16">
      <c r="A6" s="16" t="s">
        <v>634</v>
      </c>
      <c r="B6" s="831">
        <f>kWh_PV_kleiner_dan_10kW</f>
        <v>6074.1922087206767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69016.384208720672</v>
      </c>
      <c r="C8" s="21">
        <f>C5</f>
        <v>0</v>
      </c>
      <c r="D8" s="21">
        <f>D5</f>
        <v>161342.04609600001</v>
      </c>
      <c r="E8" s="21">
        <f>E5</f>
        <v>8783.3871515173814</v>
      </c>
      <c r="F8" s="21">
        <f>F5</f>
        <v>101301.76721275835</v>
      </c>
      <c r="G8" s="21"/>
      <c r="H8" s="21"/>
      <c r="I8" s="21"/>
      <c r="J8" s="21">
        <f>J5</f>
        <v>0</v>
      </c>
      <c r="K8" s="21"/>
      <c r="L8" s="21">
        <f>L5</f>
        <v>0</v>
      </c>
      <c r="M8" s="21">
        <f>M5</f>
        <v>0</v>
      </c>
      <c r="N8" s="21">
        <f>N5</f>
        <v>35052.685715480984</v>
      </c>
      <c r="O8" s="21">
        <f>O5</f>
        <v>279.8366666666667</v>
      </c>
      <c r="P8" s="21">
        <f>P5</f>
        <v>800.8</v>
      </c>
    </row>
    <row r="9" spans="1:16">
      <c r="B9" s="19"/>
      <c r="C9" s="19"/>
      <c r="D9" s="261"/>
      <c r="E9" s="19"/>
      <c r="F9" s="19"/>
      <c r="G9" s="19"/>
      <c r="H9" s="19"/>
      <c r="I9" s="19"/>
      <c r="J9" s="19"/>
      <c r="K9" s="19"/>
      <c r="L9" s="19"/>
      <c r="M9" s="19"/>
      <c r="N9" s="19"/>
      <c r="O9" s="19"/>
      <c r="P9" s="19"/>
    </row>
    <row r="10" spans="1:16">
      <c r="A10" s="24" t="s">
        <v>214</v>
      </c>
      <c r="B10" s="25">
        <f ca="1">'EF ele_warmte'!B12</f>
        <v>0.2017117861164302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13921.418130038835</v>
      </c>
      <c r="C12" s="23">
        <f ca="1">C10*C8</f>
        <v>0</v>
      </c>
      <c r="D12" s="23">
        <f>D8*D10</f>
        <v>32591.093311392004</v>
      </c>
      <c r="E12" s="23">
        <f>E10*E8</f>
        <v>1993.8288833944457</v>
      </c>
      <c r="F12" s="23">
        <f>F10*F8</f>
        <v>27047.57184580648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6223</v>
      </c>
      <c r="C18" s="168" t="s">
        <v>111</v>
      </c>
      <c r="D18" s="230"/>
      <c r="E18" s="15"/>
    </row>
    <row r="19" spans="1:7">
      <c r="A19" s="173" t="s">
        <v>72</v>
      </c>
      <c r="B19" s="37">
        <f>aantalw2001_ander</f>
        <v>8</v>
      </c>
      <c r="C19" s="168" t="s">
        <v>111</v>
      </c>
      <c r="D19" s="231"/>
      <c r="E19" s="15"/>
    </row>
    <row r="20" spans="1:7">
      <c r="A20" s="173" t="s">
        <v>73</v>
      </c>
      <c r="B20" s="37">
        <f>aantalw2001_propaan</f>
        <v>93</v>
      </c>
      <c r="C20" s="169">
        <f>IF(ISERROR(B20/SUM($B$20,$B$21,$B$22)*100),0,B20/SUM($B$20,$B$21,$B$22)*100)</f>
        <v>15.146579804560261</v>
      </c>
      <c r="D20" s="231"/>
      <c r="E20" s="15"/>
    </row>
    <row r="21" spans="1:7">
      <c r="A21" s="173" t="s">
        <v>74</v>
      </c>
      <c r="B21" s="37">
        <f>aantalw2001_elektriciteit</f>
        <v>422</v>
      </c>
      <c r="C21" s="169">
        <f>IF(ISERROR(B21/SUM($B$20,$B$21,$B$22)*100),0,B21/SUM($B$20,$B$21,$B$22)*100)</f>
        <v>68.729641693811075</v>
      </c>
      <c r="D21" s="231"/>
      <c r="E21" s="15"/>
    </row>
    <row r="22" spans="1:7">
      <c r="A22" s="173" t="s">
        <v>75</v>
      </c>
      <c r="B22" s="37">
        <f>aantalw2001_hout</f>
        <v>99</v>
      </c>
      <c r="C22" s="169">
        <f>IF(ISERROR(B22/SUM($B$20,$B$21,$B$22)*100),0,B22/SUM($B$20,$B$21,$B$22)*100)</f>
        <v>16.123778501628664</v>
      </c>
      <c r="D22" s="231"/>
      <c r="E22" s="15"/>
    </row>
    <row r="23" spans="1:7">
      <c r="A23" s="173" t="s">
        <v>76</v>
      </c>
      <c r="B23" s="37">
        <f>aantalw2001_niet_gespec</f>
        <v>212</v>
      </c>
      <c r="C23" s="168" t="s">
        <v>111</v>
      </c>
      <c r="D23" s="230"/>
      <c r="E23" s="15"/>
    </row>
    <row r="24" spans="1:7">
      <c r="A24" s="173" t="s">
        <v>77</v>
      </c>
      <c r="B24" s="37">
        <f>aantalw2001_steenkool</f>
        <v>294</v>
      </c>
      <c r="C24" s="168" t="s">
        <v>111</v>
      </c>
      <c r="D24" s="231"/>
      <c r="E24" s="15"/>
    </row>
    <row r="25" spans="1:7">
      <c r="A25" s="173" t="s">
        <v>78</v>
      </c>
      <c r="B25" s="37">
        <f>aantalw2001_stookolie</f>
        <v>7679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17135</v>
      </c>
      <c r="C28" s="36"/>
      <c r="D28" s="230"/>
    </row>
    <row r="29" spans="1:7" s="15" customFormat="1">
      <c r="A29" s="232" t="s">
        <v>746</v>
      </c>
      <c r="B29" s="37">
        <f>SUM(HH_hh_gas_aantal,HH_rest_gas_aantal)</f>
        <v>10304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10304</v>
      </c>
      <c r="C32" s="169">
        <f>IF(ISERROR(B32/SUM($B$32,$B$34,$B$35,$B$36,$B$38,$B$39)*100),0,B32/SUM($B$32,$B$34,$B$35,$B$36,$B$38,$B$39)*100)</f>
        <v>60.281986778213302</v>
      </c>
      <c r="D32" s="235"/>
      <c r="G32" s="15"/>
    </row>
    <row r="33" spans="1:7">
      <c r="A33" s="173" t="s">
        <v>72</v>
      </c>
      <c r="B33" s="34" t="s">
        <v>111</v>
      </c>
      <c r="C33" s="169"/>
      <c r="D33" s="235"/>
      <c r="G33" s="15"/>
    </row>
    <row r="34" spans="1:7">
      <c r="A34" s="173" t="s">
        <v>73</v>
      </c>
      <c r="B34" s="33">
        <f>IF((($B$28-$B$32-$B$39-$B$77-$B$38)*C20/100)&lt;0,0,($B$28-$B$32-$B$39-$B$77-$B$38)*C20/100)</f>
        <v>421.51416938110748</v>
      </c>
      <c r="C34" s="169">
        <f>IF(ISERROR(B34/SUM($B$32,$B$34,$B$35,$B$36,$B$38,$B$39)*100),0,B34/SUM($B$32,$B$34,$B$35,$B$36,$B$38,$B$39)*100)</f>
        <v>2.4660046181542588</v>
      </c>
      <c r="D34" s="235"/>
      <c r="G34" s="15"/>
    </row>
    <row r="35" spans="1:7">
      <c r="A35" s="173" t="s">
        <v>74</v>
      </c>
      <c r="B35" s="33">
        <f>IF((($B$28-$B$32-$B$39-$B$77-$B$38)*C21/100)&lt;0,0,($B$28-$B$32-$B$39-$B$77-$B$38)*C21/100)</f>
        <v>1912.6771986970684</v>
      </c>
      <c r="C35" s="169">
        <f>IF(ISERROR(B35/SUM($B$32,$B$34,$B$35,$B$36,$B$38,$B$39)*100),0,B35/SUM($B$32,$B$34,$B$35,$B$36,$B$38,$B$39)*100)</f>
        <v>11.189827407108572</v>
      </c>
      <c r="D35" s="235"/>
      <c r="G35" s="15"/>
    </row>
    <row r="36" spans="1:7">
      <c r="A36" s="173" t="s">
        <v>75</v>
      </c>
      <c r="B36" s="33">
        <f>IF((($B$28-$B$32-$B$39-$B$77-$B$38)*C22/100)&lt;0,0,($B$28-$B$32-$B$39-$B$77-$B$38)*C22/100)</f>
        <v>448.70863192182412</v>
      </c>
      <c r="C36" s="169">
        <f>IF(ISERROR(B36/SUM($B$32,$B$34,$B$35,$B$36,$B$38,$B$39)*100),0,B36/SUM($B$32,$B$34,$B$35,$B$36,$B$38,$B$39)*100)</f>
        <v>2.6251016902932434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4006.1</v>
      </c>
      <c r="C39" s="169">
        <f>IF(ISERROR(B39/SUM($B$32,$B$34,$B$35,$B$36,$B$38,$B$39)*100),0,B39/SUM($B$32,$B$34,$B$35,$B$36,$B$38,$B$39)*100)</f>
        <v>23.437079506230621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10304</v>
      </c>
      <c r="C44" s="34" t="s">
        <v>111</v>
      </c>
      <c r="D44" s="176"/>
    </row>
    <row r="45" spans="1:7">
      <c r="A45" s="173" t="s">
        <v>72</v>
      </c>
      <c r="B45" s="33" t="str">
        <f t="shared" si="0"/>
        <v>-</v>
      </c>
      <c r="C45" s="34" t="s">
        <v>111</v>
      </c>
      <c r="D45" s="176"/>
    </row>
    <row r="46" spans="1:7">
      <c r="A46" s="173" t="s">
        <v>73</v>
      </c>
      <c r="B46" s="33">
        <f t="shared" si="0"/>
        <v>421.51416938110748</v>
      </c>
      <c r="C46" s="34" t="s">
        <v>111</v>
      </c>
      <c r="D46" s="176"/>
    </row>
    <row r="47" spans="1:7">
      <c r="A47" s="173" t="s">
        <v>74</v>
      </c>
      <c r="B47" s="33">
        <f t="shared" si="0"/>
        <v>1912.6771986970684</v>
      </c>
      <c r="C47" s="34" t="s">
        <v>111</v>
      </c>
      <c r="D47" s="176"/>
    </row>
    <row r="48" spans="1:7">
      <c r="A48" s="173" t="s">
        <v>75</v>
      </c>
      <c r="B48" s="33">
        <f t="shared" si="0"/>
        <v>448.70863192182412</v>
      </c>
      <c r="C48" s="33">
        <f>B48*10</f>
        <v>4487.0863192182414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4006.1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89293.064999999988</v>
      </c>
      <c r="C5" s="17">
        <f>IF(ISERROR('Eigen informatie GS &amp; warmtenet'!B58),0,'Eigen informatie GS &amp; warmtenet'!B58)</f>
        <v>0</v>
      </c>
      <c r="D5" s="30">
        <f>SUM(D6:D12)</f>
        <v>78240.321565999999</v>
      </c>
      <c r="E5" s="17">
        <f>SUM(E6:E12)</f>
        <v>1054.9211633985915</v>
      </c>
      <c r="F5" s="17">
        <f>SUM(F6:F12)</f>
        <v>17064.085497008167</v>
      </c>
      <c r="G5" s="18"/>
      <c r="H5" s="17"/>
      <c r="I5" s="17"/>
      <c r="J5" s="17">
        <f>SUM(J6:J12)</f>
        <v>0</v>
      </c>
      <c r="K5" s="17"/>
      <c r="L5" s="17"/>
      <c r="M5" s="17"/>
      <c r="N5" s="17">
        <f>SUM(N6:N12)</f>
        <v>5806.3892337497364</v>
      </c>
      <c r="O5" s="17">
        <f>B38*B39*B40</f>
        <v>0</v>
      </c>
      <c r="P5" s="17">
        <f>B46*B47*B48/1000-B46*B47*B48/1000/B49</f>
        <v>57.2</v>
      </c>
      <c r="R5" s="32"/>
    </row>
    <row r="6" spans="1:18">
      <c r="A6" s="32" t="s">
        <v>54</v>
      </c>
      <c r="B6" s="37">
        <f>B26</f>
        <v>25625.699000000001</v>
      </c>
      <c r="C6" s="33"/>
      <c r="D6" s="37">
        <f>IF(ISERROR(TER_kantoor_gas_kWh/1000),0,TER_kantoor_gas_kWh/1000)*0.902</f>
        <v>20398.325002000001</v>
      </c>
      <c r="E6" s="33">
        <f>$C$26*'E Balans VL '!I12/100/3.6*1000000</f>
        <v>99.561265891581172</v>
      </c>
      <c r="F6" s="33">
        <f>$C$26*('E Balans VL '!L12+'E Balans VL '!N12)/100/3.6*1000000</f>
        <v>3897.4356426294457</v>
      </c>
      <c r="G6" s="34"/>
      <c r="H6" s="33"/>
      <c r="I6" s="33"/>
      <c r="J6" s="33">
        <f>$C$26*('E Balans VL '!D12+'E Balans VL '!E12)/100/3.6*1000000</f>
        <v>0</v>
      </c>
      <c r="K6" s="33"/>
      <c r="L6" s="33"/>
      <c r="M6" s="33"/>
      <c r="N6" s="33">
        <f>$C$26*'E Balans VL '!Y12/100/3.6*1000000</f>
        <v>14.122830032138365</v>
      </c>
      <c r="O6" s="33"/>
      <c r="P6" s="33"/>
      <c r="R6" s="32"/>
    </row>
    <row r="7" spans="1:18">
      <c r="A7" s="32" t="s">
        <v>53</v>
      </c>
      <c r="B7" s="37">
        <f t="shared" ref="B7:B12" si="0">B27</f>
        <v>7214.6679999999997</v>
      </c>
      <c r="C7" s="33"/>
      <c r="D7" s="37">
        <f>IF(ISERROR(TER_horeca_gas_kWh/1000),0,TER_horeca_gas_kWh/1000)*0.902</f>
        <v>6902.7895200000003</v>
      </c>
      <c r="E7" s="33">
        <f>$C$27*'E Balans VL '!I9/100/3.6*1000000</f>
        <v>406.40417732264109</v>
      </c>
      <c r="F7" s="33">
        <f>$C$27*('E Balans VL '!L9+'E Balans VL '!N9)/100/3.6*1000000</f>
        <v>2080.278317844326</v>
      </c>
      <c r="G7" s="34"/>
      <c r="H7" s="33"/>
      <c r="I7" s="33"/>
      <c r="J7" s="33">
        <f>$C$27*('E Balans VL '!D9+'E Balans VL '!E9)/100/3.6*1000000</f>
        <v>0</v>
      </c>
      <c r="K7" s="33"/>
      <c r="L7" s="33"/>
      <c r="M7" s="33"/>
      <c r="N7" s="33">
        <f>$C$27*'E Balans VL '!Y9/100/3.6*1000000</f>
        <v>1.9919323438576642</v>
      </c>
      <c r="O7" s="33"/>
      <c r="P7" s="33"/>
      <c r="R7" s="32"/>
    </row>
    <row r="8" spans="1:18">
      <c r="A8" s="6" t="s">
        <v>52</v>
      </c>
      <c r="B8" s="37">
        <f t="shared" si="0"/>
        <v>34524.137000000002</v>
      </c>
      <c r="C8" s="33"/>
      <c r="D8" s="37">
        <f>IF(ISERROR(TER_handel_gas_kWh/1000),0,TER_handel_gas_kWh/1000)*0.902</f>
        <v>19882.455867999997</v>
      </c>
      <c r="E8" s="33">
        <f>$C$28*'E Balans VL '!I13/100/3.6*1000000</f>
        <v>497.60994291537997</v>
      </c>
      <c r="F8" s="33">
        <f>$C$28*('E Balans VL '!L13+'E Balans VL '!N13)/100/3.6*1000000</f>
        <v>5997.6466097968632</v>
      </c>
      <c r="G8" s="34"/>
      <c r="H8" s="33"/>
      <c r="I8" s="33"/>
      <c r="J8" s="33">
        <f>$C$28*('E Balans VL '!D13+'E Balans VL '!E13)/100/3.6*1000000</f>
        <v>0</v>
      </c>
      <c r="K8" s="33"/>
      <c r="L8" s="33"/>
      <c r="M8" s="33"/>
      <c r="N8" s="33">
        <f>$C$28*'E Balans VL '!Y13/100/3.6*1000000</f>
        <v>103.43815775810353</v>
      </c>
      <c r="O8" s="33"/>
      <c r="P8" s="33"/>
      <c r="R8" s="32"/>
    </row>
    <row r="9" spans="1:18">
      <c r="A9" s="32" t="s">
        <v>51</v>
      </c>
      <c r="B9" s="37">
        <f t="shared" si="0"/>
        <v>11704.021000000001</v>
      </c>
      <c r="C9" s="33"/>
      <c r="D9" s="37">
        <f>IF(ISERROR(TER_gezond_gas_kWh/1000),0,TER_gezond_gas_kWh/1000)*0.902</f>
        <v>21027.790212</v>
      </c>
      <c r="E9" s="33">
        <f>$C$29*'E Balans VL '!I10/100/3.6*1000000</f>
        <v>12.502927998838842</v>
      </c>
      <c r="F9" s="33">
        <f>$C$29*('E Balans VL '!L10+'E Balans VL '!N10)/100/3.6*1000000</f>
        <v>1909.2815236458628</v>
      </c>
      <c r="G9" s="34"/>
      <c r="H9" s="33"/>
      <c r="I9" s="33"/>
      <c r="J9" s="33">
        <f>$C$29*('E Balans VL '!D10+'E Balans VL '!E10)/100/3.6*1000000</f>
        <v>0</v>
      </c>
      <c r="K9" s="33"/>
      <c r="L9" s="33"/>
      <c r="M9" s="33"/>
      <c r="N9" s="33">
        <f>$C$29*'E Balans VL '!Y10/100/3.6*1000000</f>
        <v>120.48621801384915</v>
      </c>
      <c r="O9" s="33"/>
      <c r="P9" s="33"/>
      <c r="R9" s="32"/>
    </row>
    <row r="10" spans="1:18">
      <c r="A10" s="32" t="s">
        <v>50</v>
      </c>
      <c r="B10" s="37">
        <f t="shared" si="0"/>
        <v>7996.8710000000001</v>
      </c>
      <c r="C10" s="33"/>
      <c r="D10" s="37">
        <f>IF(ISERROR(TER_ander_gas_kWh/1000),0,TER_ander_gas_kWh/1000)*0.902</f>
        <v>5081.0038840000007</v>
      </c>
      <c r="E10" s="33">
        <f>$C$30*'E Balans VL '!I14/100/3.6*1000000</f>
        <v>36.776393314622034</v>
      </c>
      <c r="F10" s="33">
        <f>$C$30*('E Balans VL '!L14+'E Balans VL '!N14)/100/3.6*1000000</f>
        <v>2396.9144826825996</v>
      </c>
      <c r="G10" s="34"/>
      <c r="H10" s="33"/>
      <c r="I10" s="33"/>
      <c r="J10" s="33">
        <f>$C$30*('E Balans VL '!D14+'E Balans VL '!E14)/100/3.6*1000000</f>
        <v>0</v>
      </c>
      <c r="K10" s="33"/>
      <c r="L10" s="33"/>
      <c r="M10" s="33"/>
      <c r="N10" s="33">
        <f>$C$30*'E Balans VL '!Y14/100/3.6*1000000</f>
        <v>5566.3500956017879</v>
      </c>
      <c r="O10" s="33"/>
      <c r="P10" s="33"/>
      <c r="R10" s="32"/>
    </row>
    <row r="11" spans="1:18">
      <c r="A11" s="32" t="s">
        <v>55</v>
      </c>
      <c r="B11" s="37">
        <f t="shared" si="0"/>
        <v>2227.6689999999999</v>
      </c>
      <c r="C11" s="33"/>
      <c r="D11" s="37">
        <f>IF(ISERROR(TER_onderwijs_gas_kWh/1000),0,TER_onderwijs_gas_kWh/1000)*0.902</f>
        <v>4947.9570800000001</v>
      </c>
      <c r="E11" s="33">
        <f>$C$31*'E Balans VL '!I11/100/3.6*1000000</f>
        <v>2.0664559555284758</v>
      </c>
      <c r="F11" s="33">
        <f>$C$31*('E Balans VL '!L11+'E Balans VL '!N11)/100/3.6*1000000</f>
        <v>782.52892040906977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518.85</v>
      </c>
      <c r="C13" s="249">
        <f ca="1">'lokale energieproductie'!O90+'lokale energieproductie'!O59</f>
        <v>34.071428571428577</v>
      </c>
      <c r="D13" s="312">
        <f ca="1">('lokale energieproductie'!P59+'lokale energieproductie'!P90)*(-1)</f>
        <v>-68.142857142857153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-1414.2857142857144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89811.914999999994</v>
      </c>
      <c r="C16" s="21">
        <f t="shared" ca="1" si="1"/>
        <v>34.071428571428577</v>
      </c>
      <c r="D16" s="21">
        <f t="shared" ca="1" si="1"/>
        <v>78172.178708857144</v>
      </c>
      <c r="E16" s="21">
        <f t="shared" si="1"/>
        <v>1054.9211633985915</v>
      </c>
      <c r="F16" s="21">
        <f t="shared" ca="1" si="1"/>
        <v>17064.085497008167</v>
      </c>
      <c r="G16" s="21">
        <f t="shared" si="1"/>
        <v>0</v>
      </c>
      <c r="H16" s="21">
        <f t="shared" si="1"/>
        <v>0</v>
      </c>
      <c r="I16" s="21">
        <f t="shared" si="1"/>
        <v>0</v>
      </c>
      <c r="J16" s="21">
        <f t="shared" si="1"/>
        <v>0</v>
      </c>
      <c r="K16" s="21">
        <f t="shared" si="1"/>
        <v>0</v>
      </c>
      <c r="L16" s="21">
        <f t="shared" ca="1" si="1"/>
        <v>0</v>
      </c>
      <c r="M16" s="21">
        <f t="shared" si="1"/>
        <v>0</v>
      </c>
      <c r="N16" s="21">
        <f t="shared" ca="1" si="1"/>
        <v>4392.1035194640217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0.2017117861164302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18116.121789187007</v>
      </c>
      <c r="C20" s="23">
        <f t="shared" ref="C20:P20" ca="1" si="2">C16*C18</f>
        <v>8.0969747899159685</v>
      </c>
      <c r="D20" s="23">
        <f t="shared" ca="1" si="2"/>
        <v>15790.780099189144</v>
      </c>
      <c r="E20" s="23">
        <f t="shared" si="2"/>
        <v>239.46710409148028</v>
      </c>
      <c r="F20" s="23">
        <f t="shared" ca="1" si="2"/>
        <v>4556.1108277011808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25625.699000000001</v>
      </c>
      <c r="C26" s="39">
        <f>IF(ISERROR(B26*3.6/1000000/'E Balans VL '!Z12*100),0,B26*3.6/1000000/'E Balans VL '!Z12*100)</f>
        <v>0.5443025400811754</v>
      </c>
      <c r="D26" s="239" t="s">
        <v>692</v>
      </c>
      <c r="F26" s="6"/>
    </row>
    <row r="27" spans="1:18">
      <c r="A27" s="233" t="s">
        <v>53</v>
      </c>
      <c r="B27" s="33">
        <f>IF(ISERROR(TER_horeca_ele_kWh/1000),0,TER_horeca_ele_kWh/1000)</f>
        <v>7214.6679999999997</v>
      </c>
      <c r="C27" s="39">
        <f>IF(ISERROR(B27*3.6/1000000/'E Balans VL '!Z9*100),0,B27*3.6/1000000/'E Balans VL '!Z9*100)</f>
        <v>0.56098437489299802</v>
      </c>
      <c r="D27" s="239" t="s">
        <v>692</v>
      </c>
      <c r="F27" s="6"/>
    </row>
    <row r="28" spans="1:18">
      <c r="A28" s="173" t="s">
        <v>52</v>
      </c>
      <c r="B28" s="33">
        <f>IF(ISERROR(TER_handel_ele_kWh/1000),0,TER_handel_ele_kWh/1000)</f>
        <v>34524.137000000002</v>
      </c>
      <c r="C28" s="39">
        <f>IF(ISERROR(B28*3.6/1000000/'E Balans VL '!Z13*100),0,B28*3.6/1000000/'E Balans VL '!Z13*100)</f>
        <v>0.9877761904147393</v>
      </c>
      <c r="D28" s="239" t="s">
        <v>692</v>
      </c>
      <c r="F28" s="6"/>
    </row>
    <row r="29" spans="1:18">
      <c r="A29" s="233" t="s">
        <v>51</v>
      </c>
      <c r="B29" s="33">
        <f>IF(ISERROR(TER_gezond_ele_kWh/1000),0,TER_gezond_ele_kWh/1000)</f>
        <v>11704.021000000001</v>
      </c>
      <c r="C29" s="39">
        <f>IF(ISERROR(B29*3.6/1000000/'E Balans VL '!Z10*100),0,B29*3.6/1000000/'E Balans VL '!Z10*100)</f>
        <v>1.2760102578303216</v>
      </c>
      <c r="D29" s="239" t="s">
        <v>692</v>
      </c>
      <c r="F29" s="6"/>
    </row>
    <row r="30" spans="1:18">
      <c r="A30" s="233" t="s">
        <v>50</v>
      </c>
      <c r="B30" s="33">
        <f>IF(ISERROR(TER_ander_ele_kWh/1000),0,TER_ander_ele_kWh/1000)</f>
        <v>7996.8710000000001</v>
      </c>
      <c r="C30" s="39">
        <f>IF(ISERROR(B30*3.6/1000000/'E Balans VL '!Z14*100),0,B30*3.6/1000000/'E Balans VL '!Z14*100)</f>
        <v>0.58519287930816444</v>
      </c>
      <c r="D30" s="239" t="s">
        <v>692</v>
      </c>
      <c r="F30" s="6"/>
    </row>
    <row r="31" spans="1:18">
      <c r="A31" s="233" t="s">
        <v>55</v>
      </c>
      <c r="B31" s="33">
        <f>IF(ISERROR(TER_onderwijs_ele_kWh/1000),0,TER_onderwijs_ele_kWh/1000)</f>
        <v>2227.6689999999999</v>
      </c>
      <c r="C31" s="39">
        <f>IF(ISERROR(B31*3.6/1000000/'E Balans VL '!Z11*100),0,B31*3.6/1000000/'E Balans VL '!Z11*100)</f>
        <v>0.44742897287138428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75654.66</v>
      </c>
      <c r="C5" s="17">
        <f>IF(ISERROR('Eigen informatie GS &amp; warmtenet'!B59),0,'Eigen informatie GS &amp; warmtenet'!B59)</f>
        <v>0</v>
      </c>
      <c r="D5" s="30">
        <f>SUM(D6:D15)</f>
        <v>30077.011404000001</v>
      </c>
      <c r="E5" s="17">
        <f>SUM(E6:E15)</f>
        <v>3420.3013444068483</v>
      </c>
      <c r="F5" s="17">
        <f>SUM(F6:F15)</f>
        <v>27785.065841779917</v>
      </c>
      <c r="G5" s="18"/>
      <c r="H5" s="17"/>
      <c r="I5" s="17"/>
      <c r="J5" s="17">
        <f>SUM(J6:J15)</f>
        <v>4.609454318414576</v>
      </c>
      <c r="K5" s="17"/>
      <c r="L5" s="17"/>
      <c r="M5" s="17"/>
      <c r="N5" s="17">
        <f>SUM(N6:N15)</f>
        <v>5028.548910136863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64862.071000000004</v>
      </c>
      <c r="C8" s="33"/>
      <c r="D8" s="37">
        <f>IF( ISERROR(IND_metaal_Gas_kWH/1000),0,IND_metaal_Gas_kWH/1000)*0.902</f>
        <v>22138.813377999999</v>
      </c>
      <c r="E8" s="33">
        <f>C30*'E Balans VL '!I18/100/3.6*1000000</f>
        <v>1863.0821414669247</v>
      </c>
      <c r="F8" s="33">
        <f>C30*'E Balans VL '!L18/100/3.6*1000000+C30*'E Balans VL '!N18/100/3.6*1000000</f>
        <v>16635.873734598168</v>
      </c>
      <c r="G8" s="34"/>
      <c r="H8" s="33"/>
      <c r="I8" s="33"/>
      <c r="J8" s="40">
        <f>C30*'E Balans VL '!D18/100/3.6*1000000+C30*'E Balans VL '!E18/100/3.6*1000000</f>
        <v>0</v>
      </c>
      <c r="K8" s="33"/>
      <c r="L8" s="33"/>
      <c r="M8" s="33"/>
      <c r="N8" s="33">
        <f>C30*'E Balans VL '!Y18/100/3.6*1000000</f>
        <v>1761.1376298953599</v>
      </c>
      <c r="O8" s="33"/>
      <c r="P8" s="33"/>
      <c r="R8" s="32"/>
    </row>
    <row r="9" spans="1:18">
      <c r="A9" s="6" t="s">
        <v>33</v>
      </c>
      <c r="B9" s="37">
        <f t="shared" si="0"/>
        <v>4084.34</v>
      </c>
      <c r="C9" s="33"/>
      <c r="D9" s="37">
        <f>IF( ISERROR(IND_andere_gas_kWh/1000),0,IND_andere_gas_kWh/1000)*0.902</f>
        <v>2717.59521</v>
      </c>
      <c r="E9" s="33">
        <f>C31*'E Balans VL '!I19/100/3.6*1000000</f>
        <v>1105.5304161672261</v>
      </c>
      <c r="F9" s="33">
        <f>C31*'E Balans VL '!L19/100/3.6*1000000+C31*'E Balans VL '!N19/100/3.6*1000000</f>
        <v>2720.6026534571774</v>
      </c>
      <c r="G9" s="34"/>
      <c r="H9" s="33"/>
      <c r="I9" s="33"/>
      <c r="J9" s="40">
        <f>C31*'E Balans VL '!D19/100/3.6*1000000+C31*'E Balans VL '!E19/100/3.6*1000000</f>
        <v>0</v>
      </c>
      <c r="K9" s="33"/>
      <c r="L9" s="33"/>
      <c r="M9" s="33"/>
      <c r="N9" s="33">
        <f>C31*'E Balans VL '!Y19/100/3.6*1000000</f>
        <v>1333.4691633041764</v>
      </c>
      <c r="O9" s="33"/>
      <c r="P9" s="33"/>
      <c r="R9" s="32"/>
    </row>
    <row r="10" spans="1:18">
      <c r="A10" s="6" t="s">
        <v>41</v>
      </c>
      <c r="B10" s="37">
        <f t="shared" si="0"/>
        <v>5429.17</v>
      </c>
      <c r="C10" s="33"/>
      <c r="D10" s="37">
        <f>IF( ISERROR(IND_voed_gas_kWh/1000),0,IND_voed_gas_kWh/1000)*0.902</f>
        <v>4685.1016520000003</v>
      </c>
      <c r="E10" s="33">
        <f>C32*'E Balans VL '!I20/100/3.6*1000000</f>
        <v>442.8155783935058</v>
      </c>
      <c r="F10" s="33">
        <f>C32*'E Balans VL '!L20/100/3.6*1000000+C32*'E Balans VL '!N20/100/3.6*1000000</f>
        <v>8095.3850474626743</v>
      </c>
      <c r="G10" s="34"/>
      <c r="H10" s="33"/>
      <c r="I10" s="33"/>
      <c r="J10" s="40">
        <f>C32*'E Balans VL '!D20/100/3.6*1000000+C32*'E Balans VL '!E20/100/3.6*1000000</f>
        <v>7.1821328971689774E-2</v>
      </c>
      <c r="K10" s="33"/>
      <c r="L10" s="33"/>
      <c r="M10" s="33"/>
      <c r="N10" s="33">
        <f>C32*'E Balans VL '!Y20/100/3.6*1000000</f>
        <v>1594.8985712477963</v>
      </c>
      <c r="O10" s="33"/>
      <c r="P10" s="33"/>
      <c r="R10" s="32"/>
    </row>
    <row r="11" spans="1:18">
      <c r="A11" s="6" t="s">
        <v>40</v>
      </c>
      <c r="B11" s="37">
        <f t="shared" si="0"/>
        <v>238.101</v>
      </c>
      <c r="C11" s="33"/>
      <c r="D11" s="37">
        <f>IF( ISERROR(IND_textiel_gas_kWh/1000),0,IND_textiel_gas_kWh/1000)*0.902</f>
        <v>228.40804800000001</v>
      </c>
      <c r="E11" s="33">
        <f>C33*'E Balans VL '!I21/100/3.6*1000000</f>
        <v>4.7196489677350427E-2</v>
      </c>
      <c r="F11" s="33">
        <f>C33*'E Balans VL '!L21/100/3.6*1000000+C33*'E Balans VL '!N21/100/3.6*1000000</f>
        <v>8.7695470997735558</v>
      </c>
      <c r="G11" s="34"/>
      <c r="H11" s="33"/>
      <c r="I11" s="33"/>
      <c r="J11" s="40">
        <f>C33*'E Balans VL '!D21/100/3.6*1000000+C33*'E Balans VL '!E21/100/3.6*1000000</f>
        <v>0</v>
      </c>
      <c r="K11" s="33"/>
      <c r="L11" s="33"/>
      <c r="M11" s="33"/>
      <c r="N11" s="33">
        <f>C33*'E Balans VL '!Y21/100/3.6*1000000</f>
        <v>1.1071095433438678</v>
      </c>
      <c r="O11" s="33"/>
      <c r="P11" s="33"/>
      <c r="R11" s="32"/>
    </row>
    <row r="12" spans="1:18">
      <c r="A12" s="6" t="s">
        <v>37</v>
      </c>
      <c r="B12" s="37">
        <f t="shared" si="0"/>
        <v>820.55</v>
      </c>
      <c r="C12" s="33"/>
      <c r="D12" s="37">
        <f>IF( ISERROR(IND_min_gas_kWh/1000),0,IND_min_gas_kWh/1000)*0.902</f>
        <v>34.691822000000002</v>
      </c>
      <c r="E12" s="33">
        <f>C34*'E Balans VL '!I22/100/3.6*1000000</f>
        <v>6.3919057097653029</v>
      </c>
      <c r="F12" s="33">
        <f>C34*'E Balans VL '!L22/100/3.6*1000000+C34*'E Balans VL '!N22/100/3.6*1000000</f>
        <v>309.46103566242755</v>
      </c>
      <c r="G12" s="34"/>
      <c r="H12" s="33"/>
      <c r="I12" s="33"/>
      <c r="J12" s="40">
        <f>C34*'E Balans VL '!D22/100/3.6*1000000+C34*'E Balans VL '!E22/100/3.6*1000000</f>
        <v>4.5129532569113922</v>
      </c>
      <c r="K12" s="33"/>
      <c r="L12" s="33"/>
      <c r="M12" s="33"/>
      <c r="N12" s="33">
        <f>C34*'E Balans VL '!Y22/100/3.6*1000000</f>
        <v>0</v>
      </c>
      <c r="O12" s="33"/>
      <c r="P12" s="33"/>
      <c r="R12" s="32"/>
    </row>
    <row r="13" spans="1:18">
      <c r="A13" s="6" t="s">
        <v>39</v>
      </c>
      <c r="B13" s="37">
        <f t="shared" si="0"/>
        <v>156.607</v>
      </c>
      <c r="C13" s="33"/>
      <c r="D13" s="37">
        <f>IF( ISERROR(IND_papier_gas_kWh/1000),0,IND_papier_gas_kWh/1000)*0.902</f>
        <v>112.374768</v>
      </c>
      <c r="E13" s="33">
        <f>C35*'E Balans VL '!I23/100/3.6*1000000</f>
        <v>1.640743628135533</v>
      </c>
      <c r="F13" s="33">
        <f>C35*'E Balans VL '!L23/100/3.6*1000000+C35*'E Balans VL '!N23/100/3.6*1000000</f>
        <v>11.686042097969491</v>
      </c>
      <c r="G13" s="34"/>
      <c r="H13" s="33"/>
      <c r="I13" s="33"/>
      <c r="J13" s="40">
        <f>C35*'E Balans VL '!D23/100/3.6*1000000+C35*'E Balans VL '!E23/100/3.6*1000000</f>
        <v>0</v>
      </c>
      <c r="K13" s="33"/>
      <c r="L13" s="33"/>
      <c r="M13" s="33"/>
      <c r="N13" s="33">
        <f>C35*'E Balans VL '!Y23/100/3.6*1000000</f>
        <v>334.73111635800046</v>
      </c>
      <c r="O13" s="33"/>
      <c r="P13" s="33"/>
      <c r="R13" s="32"/>
    </row>
    <row r="14" spans="1:18">
      <c r="A14" s="6" t="s">
        <v>34</v>
      </c>
      <c r="B14" s="37">
        <f t="shared" si="0"/>
        <v>54.192</v>
      </c>
      <c r="C14" s="33"/>
      <c r="D14" s="37">
        <f>IF( ISERROR(IND_chemie_gas_kWh/1000),0,IND_chemie_gas_kWh/1000)*0.902</f>
        <v>118.05376</v>
      </c>
      <c r="E14" s="33">
        <f>C36*'E Balans VL '!I24/100/3.6*1000000</f>
        <v>0.2561783099197405</v>
      </c>
      <c r="F14" s="33">
        <f>C36*'E Balans VL '!L24/100/3.6*1000000+C36*'E Balans VL '!N24/100/3.6*1000000</f>
        <v>1.0241997118449435</v>
      </c>
      <c r="G14" s="34"/>
      <c r="H14" s="33"/>
      <c r="I14" s="33"/>
      <c r="J14" s="40">
        <f>C36*'E Balans VL '!D24/100/3.6*1000000+C36*'E Balans VL '!E24/100/3.6*1000000</f>
        <v>0</v>
      </c>
      <c r="K14" s="33"/>
      <c r="L14" s="33"/>
      <c r="M14" s="33"/>
      <c r="N14" s="33">
        <f>C36*'E Balans VL '!Y24/100/3.6*1000000</f>
        <v>1.3155984267756007</v>
      </c>
      <c r="O14" s="33"/>
      <c r="P14" s="33"/>
      <c r="R14" s="32"/>
    </row>
    <row r="15" spans="1:18">
      <c r="A15" s="6" t="s">
        <v>270</v>
      </c>
      <c r="B15" s="37">
        <f t="shared" si="0"/>
        <v>9.6289999999999996</v>
      </c>
      <c r="C15" s="33"/>
      <c r="D15" s="37">
        <f>IF( ISERROR(IND_rest_gas_kWh/1000),0,IND_rest_gas_kWh/1000)*0.902</f>
        <v>41.972766</v>
      </c>
      <c r="E15" s="33">
        <f>C37*'E Balans VL '!I15/100/3.6*1000000</f>
        <v>0.53718424169284318</v>
      </c>
      <c r="F15" s="33">
        <f>C37*'E Balans VL '!L15/100/3.6*1000000+C37*'E Balans VL '!N15/100/3.6*1000000</f>
        <v>2.2635816898798398</v>
      </c>
      <c r="G15" s="34"/>
      <c r="H15" s="33"/>
      <c r="I15" s="33"/>
      <c r="J15" s="40">
        <f>C37*'E Balans VL '!D15/100/3.6*1000000+C37*'E Balans VL '!E15/100/3.6*1000000</f>
        <v>2.4679732531493623E-2</v>
      </c>
      <c r="K15" s="33"/>
      <c r="L15" s="33"/>
      <c r="M15" s="33"/>
      <c r="N15" s="33">
        <f>C37*'E Balans VL '!Y15/100/3.6*1000000</f>
        <v>1.8897213614097967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75654.66</v>
      </c>
      <c r="C18" s="21">
        <f>C5+C16</f>
        <v>0</v>
      </c>
      <c r="D18" s="21">
        <f>MAX((D5+D16),0)</f>
        <v>30077.011404000001</v>
      </c>
      <c r="E18" s="21">
        <f>MAX((E5+E16),0)</f>
        <v>3420.3013444068483</v>
      </c>
      <c r="F18" s="21">
        <f>MAX((F5+F16),0)</f>
        <v>27785.065841779917</v>
      </c>
      <c r="G18" s="21"/>
      <c r="H18" s="21"/>
      <c r="I18" s="21"/>
      <c r="J18" s="21">
        <f>MAX((J5+J16),0)</f>
        <v>4.609454318414576</v>
      </c>
      <c r="K18" s="21"/>
      <c r="L18" s="21">
        <f>MAX((L5+L16),0)</f>
        <v>0</v>
      </c>
      <c r="M18" s="21"/>
      <c r="N18" s="21">
        <f>MAX((N5+N16),0)</f>
        <v>5028.548910136863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0.2017117861164302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15260.436596631249</v>
      </c>
      <c r="C22" s="23">
        <f ca="1">C18*C20</f>
        <v>0</v>
      </c>
      <c r="D22" s="23">
        <f>D18*D20</f>
        <v>6075.5563036080002</v>
      </c>
      <c r="E22" s="23">
        <f>E18*E20</f>
        <v>776.40840518035463</v>
      </c>
      <c r="F22" s="23">
        <f>F18*F20</f>
        <v>7418.6125797552386</v>
      </c>
      <c r="G22" s="23"/>
      <c r="H22" s="23"/>
      <c r="I22" s="23"/>
      <c r="J22" s="23">
        <f>J18*J20</f>
        <v>1.6317468287187598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64862.071000000004</v>
      </c>
      <c r="C30" s="39">
        <f>IF(ISERROR(B30*3.6/1000000/'E Balans VL '!Z18*100),0,B30*3.6/1000000/'E Balans VL '!Z18*100)</f>
        <v>6.3822622111706488</v>
      </c>
      <c r="D30" s="239" t="s">
        <v>692</v>
      </c>
    </row>
    <row r="31" spans="1:18">
      <c r="A31" s="6" t="s">
        <v>33</v>
      </c>
      <c r="B31" s="37">
        <f>IF( ISERROR(IND_ander_ele_kWh/1000),0,IND_ander_ele_kWh/1000)</f>
        <v>4084.34</v>
      </c>
      <c r="C31" s="39">
        <f>IF(ISERROR(B31*3.6/1000000/'E Balans VL '!Z19*100),0,B31*3.6/1000000/'E Balans VL '!Z19*100)</f>
        <v>0.1778697489540759</v>
      </c>
      <c r="D31" s="239" t="s">
        <v>692</v>
      </c>
    </row>
    <row r="32" spans="1:18">
      <c r="A32" s="173" t="s">
        <v>41</v>
      </c>
      <c r="B32" s="37">
        <f>IF( ISERROR(IND_voed_ele_kWh/1000),0,IND_voed_ele_kWh/1000)</f>
        <v>5429.17</v>
      </c>
      <c r="C32" s="39">
        <f>IF(ISERROR(B32*3.6/1000000/'E Balans VL '!Z20*100),0,B32*3.6/1000000/'E Balans VL '!Z20*100)</f>
        <v>1.0301067103508883</v>
      </c>
      <c r="D32" s="239" t="s">
        <v>692</v>
      </c>
    </row>
    <row r="33" spans="1:5">
      <c r="A33" s="173" t="s">
        <v>40</v>
      </c>
      <c r="B33" s="37">
        <f>IF( ISERROR(IND_textiel_ele_kWh/1000),0,IND_textiel_ele_kWh/1000)</f>
        <v>238.101</v>
      </c>
      <c r="C33" s="39">
        <f>IF(ISERROR(B33*3.6/1000000/'E Balans VL '!Z21*100),0,B33*3.6/1000000/'E Balans VL '!Z21*100)</f>
        <v>1.3594359629026278E-2</v>
      </c>
      <c r="D33" s="239" t="s">
        <v>692</v>
      </c>
    </row>
    <row r="34" spans="1:5">
      <c r="A34" s="173" t="s">
        <v>37</v>
      </c>
      <c r="B34" s="37">
        <f>IF( ISERROR(IND_min_ele_kWh/1000),0,IND_min_ele_kWh/1000)</f>
        <v>820.55</v>
      </c>
      <c r="C34" s="39">
        <f>IF(ISERROR(B34*3.6/1000000/'E Balans VL '!Z22*100),0,B34*3.6/1000000/'E Balans VL '!Z22*100)</f>
        <v>0.11537756970627139</v>
      </c>
      <c r="D34" s="239" t="s">
        <v>692</v>
      </c>
    </row>
    <row r="35" spans="1:5">
      <c r="A35" s="173" t="s">
        <v>39</v>
      </c>
      <c r="B35" s="37">
        <f>IF( ISERROR(IND_papier_ele_kWh/1000),0,IND_papier_ele_kWh/1000)</f>
        <v>156.607</v>
      </c>
      <c r="C35" s="39">
        <f>IF(ISERROR(B35*3.6/1000000/'E Balans VL '!Z22*100),0,B35*3.6/1000000/'E Balans VL '!Z22*100)</f>
        <v>2.2020516798476684E-2</v>
      </c>
      <c r="D35" s="239" t="s">
        <v>692</v>
      </c>
    </row>
    <row r="36" spans="1:5">
      <c r="A36" s="173" t="s">
        <v>34</v>
      </c>
      <c r="B36" s="37">
        <f>IF( ISERROR(IND_chemie_ele_kWh/1000),0,IND_chemie_ele_kWh/1000)</f>
        <v>54.192</v>
      </c>
      <c r="C36" s="39">
        <f>IF(ISERROR(B36*3.6/1000000/'E Balans VL '!Z24*100),0,B36*3.6/1000000/'E Balans VL '!Z24*100)</f>
        <v>1.5793150142403532E-3</v>
      </c>
      <c r="D36" s="239" t="s">
        <v>692</v>
      </c>
    </row>
    <row r="37" spans="1:5">
      <c r="A37" s="173" t="s">
        <v>270</v>
      </c>
      <c r="B37" s="37">
        <f>IF( ISERROR(IND_rest_ele_kWh/1000),0,IND_rest_ele_kWh/1000)</f>
        <v>9.6289999999999996</v>
      </c>
      <c r="C37" s="39">
        <f>IF(ISERROR(B37*3.6/1000000/'E Balans VL '!Z15*100),0,B37*3.6/1000000/'E Balans VL '!Z15*100)</f>
        <v>7.4203271849851367E-5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8869.9830000000002</v>
      </c>
      <c r="C5" s="17">
        <f>'Eigen informatie GS &amp; warmtenet'!B60</f>
        <v>0</v>
      </c>
      <c r="D5" s="30">
        <f>IF(ISERROR(SUM(LB_lb_gas_kWh,LB_rest_gas_kWh,onbekend_gas_kWh)/1000),0,SUM(LB_lb_gas_kWh,LB_rest_gas_kWh,onbekend_gas_kWh)/1000)*0.902</f>
        <v>4604.273432</v>
      </c>
      <c r="E5" s="17">
        <f>B17*'E Balans VL '!I25/3.6*1000000/100</f>
        <v>111.77321266142003</v>
      </c>
      <c r="F5" s="17">
        <f>B17*('E Balans VL '!L25/3.6*1000000+'E Balans VL '!N25/3.6*1000000)/100</f>
        <v>30603.663413515245</v>
      </c>
      <c r="G5" s="18"/>
      <c r="H5" s="17"/>
      <c r="I5" s="17"/>
      <c r="J5" s="17">
        <f>('E Balans VL '!D25+'E Balans VL '!E25)/3.6*1000000*landbouw!B17/100</f>
        <v>1333.9446127918925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8869.9830000000002</v>
      </c>
      <c r="C8" s="21">
        <f>C5+C6</f>
        <v>0</v>
      </c>
      <c r="D8" s="21">
        <f>MAX((D5+D6),0)</f>
        <v>4604.273432</v>
      </c>
      <c r="E8" s="21">
        <f>MAX((E5+E6),0)</f>
        <v>111.77321266142003</v>
      </c>
      <c r="F8" s="21">
        <f>MAX((F5+F6),0)</f>
        <v>30603.663413515245</v>
      </c>
      <c r="G8" s="21"/>
      <c r="H8" s="21"/>
      <c r="I8" s="21"/>
      <c r="J8" s="21">
        <f>MAX((J5+J6),0)</f>
        <v>1333.9446127918925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0.2017117861164302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1789.1801137523719</v>
      </c>
      <c r="C12" s="23">
        <f ca="1">C8*C10</f>
        <v>0</v>
      </c>
      <c r="D12" s="23">
        <f>D8*D10</f>
        <v>930.06323326400002</v>
      </c>
      <c r="E12" s="23">
        <f>E8*E10</f>
        <v>25.372519274142348</v>
      </c>
      <c r="F12" s="23">
        <f>F8*F10</f>
        <v>8171.1781314085711</v>
      </c>
      <c r="G12" s="23"/>
      <c r="H12" s="23"/>
      <c r="I12" s="23"/>
      <c r="J12" s="23">
        <f>J8*J10</f>
        <v>472.21639292832992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1.2370830628635909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222.61864282086771</v>
      </c>
      <c r="C26" s="249">
        <f>B26*'GWP N2O_CH4'!B5</f>
        <v>4674.9914992382219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63.385081902098456</v>
      </c>
      <c r="C27" s="249">
        <f>B27*'GWP N2O_CH4'!B5</f>
        <v>1331.0867199440677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3.5801220974307868</v>
      </c>
      <c r="C28" s="249">
        <f>B28*'GWP N2O_CH4'!B4</f>
        <v>1109.8378502035439</v>
      </c>
      <c r="D28" s="50"/>
    </row>
    <row r="29" spans="1:4">
      <c r="A29" s="41" t="s">
        <v>277</v>
      </c>
      <c r="B29" s="249">
        <f>B34*'ha_N2O bodem landbouw'!B4</f>
        <v>36.865546899494163</v>
      </c>
      <c r="C29" s="249">
        <f>B29*'GWP N2O_CH4'!B4</f>
        <v>11428.31953884319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9.2049586899777651E-3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6.2020467308795561E-5</v>
      </c>
      <c r="C5" s="448" t="s">
        <v>211</v>
      </c>
      <c r="D5" s="433">
        <f>SUM(D6:D11)</f>
        <v>1.0505327475122756E-4</v>
      </c>
      <c r="E5" s="433">
        <f>SUM(E6:E11)</f>
        <v>3.2020674704126739E-3</v>
      </c>
      <c r="F5" s="446" t="s">
        <v>211</v>
      </c>
      <c r="G5" s="433">
        <f>SUM(G6:G11)</f>
        <v>0.76042947657426319</v>
      </c>
      <c r="H5" s="433">
        <f>SUM(H6:H11)</f>
        <v>0.15732144183016292</v>
      </c>
      <c r="I5" s="448" t="s">
        <v>211</v>
      </c>
      <c r="J5" s="448" t="s">
        <v>211</v>
      </c>
      <c r="K5" s="448" t="s">
        <v>211</v>
      </c>
      <c r="L5" s="448" t="s">
        <v>211</v>
      </c>
      <c r="M5" s="433">
        <f>SUM(M6:M11)</f>
        <v>4.1039169797906741E-2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4.6461686362340357E-5</v>
      </c>
      <c r="C6" s="949"/>
      <c r="D6" s="949">
        <f>vkm_2011_GW_PW*SUMIFS(TableVerdeelsleutelVkm[CNG],TableVerdeelsleutelVkm[Voertuigtype],"Lichte voertuigen")*SUMIFS(TableECFTransport[EnergieConsumptieFactor (PJ per km)],TableECFTransport[Index],CONCATENATE($A6,"_CNG_CNG"))</f>
        <v>6.5798834894240896E-5</v>
      </c>
      <c r="E6" s="949">
        <f>vkm_2011_GW_PW*SUMIFS(TableVerdeelsleutelVkm[LPG],TableVerdeelsleutelVkm[Voertuigtype],"Lichte voertuigen")*SUMIFS(TableECFTransport[EnergieConsumptieFactor (PJ per km)],TableECFTransport[Index],CONCATENATE($A6,"_LPG_LPG"))</f>
        <v>2.0665247885449413E-3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0.37141109016436863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9.980153883064545E-2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2.1027595838757306E-2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0.18460369003194527</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6.5771611168668304E-5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8.3303964669166185E-3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1.5558780946455204E-5</v>
      </c>
      <c r="C8" s="949"/>
      <c r="D8" s="436">
        <f>vkm_2011_NGW_PW*SUMIFS(TableVerdeelsleutelVkm[CNG],TableVerdeelsleutelVkm[Voertuigtype],"Lichte voertuigen")*SUMIFS(TableECFTransport[EnergieConsumptieFactor (PJ per km)],TableECFTransport[Index],CONCATENATE($A8,"_CNG_CNG"))</f>
        <v>3.9254439856986663E-5</v>
      </c>
      <c r="E8" s="436">
        <f>vkm_2011_NGW_PW*SUMIFS(TableVerdeelsleutelVkm[LPG],TableVerdeelsleutelVkm[Voertuigtype],"Lichte voertuigen")*SUMIFS(TableECFTransport[EnergieConsumptieFactor (PJ per km)],TableECFTransport[Index],CONCATENATE($A8,"_LPG_LPG"))</f>
        <v>1.1355426818677327E-3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0.19248549593010236</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5.7450109461747209E-2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1.1142872082394069E-2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1.1929200447846955E-2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4.021926601605996E-6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5.3830540983874659E-4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17.227907585776546</v>
      </c>
      <c r="C14" s="21"/>
      <c r="D14" s="21">
        <f t="shared" ref="D14:M14" si="0">((D5)*10^9/3600)+D12</f>
        <v>29.181465208674322</v>
      </c>
      <c r="E14" s="21">
        <f t="shared" si="0"/>
        <v>889.46318622574279</v>
      </c>
      <c r="F14" s="21"/>
      <c r="G14" s="21">
        <f t="shared" si="0"/>
        <v>211230.41015951755</v>
      </c>
      <c r="H14" s="21">
        <f t="shared" si="0"/>
        <v>43700.400508378589</v>
      </c>
      <c r="I14" s="21"/>
      <c r="J14" s="21"/>
      <c r="K14" s="21"/>
      <c r="L14" s="21"/>
      <c r="M14" s="21">
        <f t="shared" si="0"/>
        <v>11399.769388307428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0.2017117861164302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3.4750720101757842</v>
      </c>
      <c r="C18" s="23"/>
      <c r="D18" s="23">
        <f t="shared" ref="D18:M18" si="1">D14*D16</f>
        <v>5.8946559721522132</v>
      </c>
      <c r="E18" s="23">
        <f t="shared" si="1"/>
        <v>201.90814327324361</v>
      </c>
      <c r="F18" s="23"/>
      <c r="G18" s="23">
        <f t="shared" si="1"/>
        <v>56398.519512591185</v>
      </c>
      <c r="H18" s="23">
        <f t="shared" si="1"/>
        <v>10881.399726586269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2.1059605140242712E-2</v>
      </c>
      <c r="H50" s="323">
        <f t="shared" si="2"/>
        <v>0</v>
      </c>
      <c r="I50" s="323">
        <f t="shared" si="2"/>
        <v>0</v>
      </c>
      <c r="J50" s="323">
        <f t="shared" si="2"/>
        <v>0</v>
      </c>
      <c r="K50" s="323">
        <f t="shared" si="2"/>
        <v>0</v>
      </c>
      <c r="L50" s="323">
        <f t="shared" si="2"/>
        <v>0</v>
      </c>
      <c r="M50" s="323">
        <f t="shared" si="2"/>
        <v>9.3657215061972816E-4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2.1059605140242712E-2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9.3657215061972816E-4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5849.8903167340859</v>
      </c>
      <c r="H54" s="21">
        <f t="shared" si="3"/>
        <v>0</v>
      </c>
      <c r="I54" s="21">
        <f t="shared" si="3"/>
        <v>0</v>
      </c>
      <c r="J54" s="21">
        <f t="shared" si="3"/>
        <v>0</v>
      </c>
      <c r="K54" s="21">
        <f t="shared" si="3"/>
        <v>0</v>
      </c>
      <c r="L54" s="21">
        <f t="shared" si="3"/>
        <v>0</v>
      </c>
      <c r="M54" s="21">
        <f t="shared" si="3"/>
        <v>260.15893072770228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0.2017117861164302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1561.9207145680011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20952.571871607637</v>
      </c>
      <c r="C6" s="1142"/>
      <c r="D6" s="1145"/>
      <c r="E6" s="1145"/>
      <c r="F6" s="1148"/>
      <c r="G6" s="1151"/>
      <c r="H6" s="1139"/>
      <c r="I6" s="1145"/>
      <c r="J6" s="1145"/>
      <c r="K6" s="1145"/>
      <c r="L6" s="1175"/>
      <c r="M6" s="561"/>
      <c r="N6" s="1187"/>
      <c r="O6" s="1188"/>
      <c r="Q6" s="559"/>
      <c r="R6" s="1172"/>
      <c r="S6" s="1172"/>
    </row>
    <row r="7" spans="1:19" s="549" customFormat="1">
      <c r="A7" s="562" t="s">
        <v>252</v>
      </c>
      <c r="B7" s="563">
        <f>N57</f>
        <v>23.85</v>
      </c>
      <c r="C7" s="564">
        <f>B100</f>
        <v>28.058823529411768</v>
      </c>
      <c r="D7" s="565"/>
      <c r="E7" s="565">
        <f>E100</f>
        <v>0</v>
      </c>
      <c r="F7" s="566"/>
      <c r="G7" s="567"/>
      <c r="H7" s="565">
        <f>I100</f>
        <v>0</v>
      </c>
      <c r="I7" s="565">
        <f>G100+F100</f>
        <v>0</v>
      </c>
      <c r="J7" s="565">
        <f>H100+D100+C100</f>
        <v>0</v>
      </c>
      <c r="K7" s="565"/>
      <c r="L7" s="568"/>
      <c r="M7" s="569">
        <f>C7*$C$11+D7*$D$11+E7*$E$11+F7*$F$11+G7*$G$11+H7*$H$11+I7*$I$11+J7*$J$11</f>
        <v>5.6678823529411773</v>
      </c>
      <c r="N7" s="1187"/>
      <c r="O7" s="1188"/>
      <c r="Q7" s="559"/>
      <c r="R7" s="1172"/>
      <c r="S7" s="1172"/>
    </row>
    <row r="8" spans="1:19" s="549" customFormat="1" ht="17.45" customHeight="1" thickBot="1">
      <c r="A8" s="570" t="s">
        <v>248</v>
      </c>
      <c r="B8" s="571">
        <f>N88+'Eigen informatie GS &amp; warmtenet'!B12</f>
        <v>495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21471.421871607636</v>
      </c>
      <c r="C9" s="580">
        <f t="shared" ref="C9:L9" si="0">SUM(C7:C8)</f>
        <v>28.058823529411768</v>
      </c>
      <c r="D9" s="580">
        <f t="shared" si="0"/>
        <v>0</v>
      </c>
      <c r="E9" s="580">
        <f t="shared" si="0"/>
        <v>0</v>
      </c>
      <c r="F9" s="580">
        <f t="shared" si="0"/>
        <v>0</v>
      </c>
      <c r="G9" s="580">
        <f t="shared" si="0"/>
        <v>0</v>
      </c>
      <c r="H9" s="580">
        <f t="shared" si="0"/>
        <v>0</v>
      </c>
      <c r="I9" s="580">
        <f t="shared" si="0"/>
        <v>0</v>
      </c>
      <c r="J9" s="580">
        <f t="shared" si="0"/>
        <v>1414.2857142857144</v>
      </c>
      <c r="K9" s="580">
        <f t="shared" si="0"/>
        <v>0</v>
      </c>
      <c r="L9" s="580">
        <f t="shared" si="0"/>
        <v>0</v>
      </c>
      <c r="M9" s="581">
        <f>SUM(M4:M8)</f>
        <v>5.6678823529411773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34.071428571428577</v>
      </c>
      <c r="C16" s="596">
        <f>B101</f>
        <v>40.084033613445385</v>
      </c>
      <c r="D16" s="597"/>
      <c r="E16" s="597">
        <f>E101</f>
        <v>0</v>
      </c>
      <c r="F16" s="598"/>
      <c r="G16" s="599"/>
      <c r="H16" s="596">
        <f>I101</f>
        <v>0</v>
      </c>
      <c r="I16" s="597">
        <f>G101+F101</f>
        <v>0</v>
      </c>
      <c r="J16" s="597">
        <f>H101+D101+C101</f>
        <v>0</v>
      </c>
      <c r="K16" s="597"/>
      <c r="L16" s="600"/>
      <c r="M16" s="601">
        <f>C16*$C$21+E16*$E$21+H16*$H$21+I16*$I$21+J16*$J$21+D16*$D$21+F16*$F$21+G16*$G$21+K16*$K$21+L16*$L$21</f>
        <v>8.0969747899159685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34.071428571428577</v>
      </c>
      <c r="C19" s="579">
        <f>SUM(C16:C18)</f>
        <v>40.084033613445385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8.0969747899159685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71053</v>
      </c>
      <c r="C27" s="839">
        <v>3800</v>
      </c>
      <c r="D27" s="658" t="s">
        <v>840</v>
      </c>
      <c r="E27" s="657" t="s">
        <v>841</v>
      </c>
      <c r="F27" s="657" t="s">
        <v>842</v>
      </c>
      <c r="G27" s="657" t="s">
        <v>843</v>
      </c>
      <c r="H27" s="657" t="s">
        <v>844</v>
      </c>
      <c r="I27" s="657" t="s">
        <v>841</v>
      </c>
      <c r="J27" s="838">
        <v>39764</v>
      </c>
      <c r="K27" s="838">
        <v>40238</v>
      </c>
      <c r="L27" s="657" t="s">
        <v>845</v>
      </c>
      <c r="M27" s="657">
        <v>5.3</v>
      </c>
      <c r="N27" s="657">
        <v>23.85</v>
      </c>
      <c r="O27" s="657">
        <v>34.071428571428577</v>
      </c>
      <c r="P27" s="657">
        <v>68.142857142857153</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5.3</v>
      </c>
      <c r="N57" s="615">
        <f>SUM(N27:N56)</f>
        <v>23.85</v>
      </c>
      <c r="O57" s="615">
        <f t="shared" ref="O57:W57" si="2">SUM(O27:O56)</f>
        <v>34.071428571428577</v>
      </c>
      <c r="P57" s="615">
        <f t="shared" si="2"/>
        <v>68.142857142857153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5.3</v>
      </c>
      <c r="N59" s="615">
        <f ca="1">SUMIF($Z$27:AB56,"tertiair",N27:N56)</f>
        <v>23.85</v>
      </c>
      <c r="O59" s="615">
        <f ca="1">SUMIF($Z$27:AC56,"tertiair",O27:O56)</f>
        <v>34.071428571428577</v>
      </c>
      <c r="P59" s="615">
        <f ca="1">SUMIF($Z$27:AD56,"tertiair",P27:P56)</f>
        <v>68.142857142857153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71053</v>
      </c>
      <c r="C63" s="839">
        <v>3803</v>
      </c>
      <c r="D63" s="660" t="s">
        <v>846</v>
      </c>
      <c r="E63" s="660" t="s">
        <v>847</v>
      </c>
      <c r="F63" s="660" t="s">
        <v>848</v>
      </c>
      <c r="G63" s="660" t="s">
        <v>849</v>
      </c>
      <c r="H63" s="660" t="s">
        <v>850</v>
      </c>
      <c r="I63" s="660" t="s">
        <v>851</v>
      </c>
      <c r="J63" s="838">
        <v>40606</v>
      </c>
      <c r="K63" s="838">
        <v>40606</v>
      </c>
      <c r="L63" s="660" t="s">
        <v>845</v>
      </c>
      <c r="M63" s="660">
        <v>110</v>
      </c>
      <c r="N63" s="660">
        <v>495</v>
      </c>
      <c r="O63" s="660">
        <v>0</v>
      </c>
      <c r="P63" s="660">
        <v>0</v>
      </c>
      <c r="Q63" s="660">
        <v>1414.2857142857144</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110</v>
      </c>
      <c r="N88" s="615">
        <f t="shared" ref="N88:W88" si="5">SUM(N63:N87)</f>
        <v>495</v>
      </c>
      <c r="O88" s="615">
        <f t="shared" si="5"/>
        <v>0</v>
      </c>
      <c r="P88" s="615">
        <f t="shared" si="5"/>
        <v>0</v>
      </c>
      <c r="Q88" s="615">
        <f t="shared" si="5"/>
        <v>1414.2857142857144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110</v>
      </c>
      <c r="N90" s="615">
        <f t="shared" ref="N90:W90" si="7">SUMIF($Z$63:$Z$88,"tertiair",N63:N88)</f>
        <v>495</v>
      </c>
      <c r="O90" s="615">
        <f t="shared" si="7"/>
        <v>0</v>
      </c>
      <c r="P90" s="615">
        <f t="shared" si="7"/>
        <v>0</v>
      </c>
      <c r="Q90" s="615">
        <f t="shared" si="7"/>
        <v>1414.2857142857144</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28.058823529411768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40.084033613445385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92162.596999999994</v>
      </c>
      <c r="D10" s="704">
        <f ca="1">tertiair!C16</f>
        <v>34.071428571428577</v>
      </c>
      <c r="E10" s="704">
        <f ca="1">tertiair!D16</f>
        <v>78172.178708857144</v>
      </c>
      <c r="F10" s="704">
        <f>tertiair!E16</f>
        <v>1054.9211633985915</v>
      </c>
      <c r="G10" s="704">
        <f ca="1">tertiair!F16</f>
        <v>17064.085497008167</v>
      </c>
      <c r="H10" s="704">
        <f>tertiair!G16</f>
        <v>0</v>
      </c>
      <c r="I10" s="704">
        <f>tertiair!H16</f>
        <v>0</v>
      </c>
      <c r="J10" s="704">
        <f>tertiair!I16</f>
        <v>0</v>
      </c>
      <c r="K10" s="704">
        <f>tertiair!J16</f>
        <v>0</v>
      </c>
      <c r="L10" s="704">
        <f>tertiair!K16</f>
        <v>0</v>
      </c>
      <c r="M10" s="704">
        <f ca="1">tertiair!L16</f>
        <v>0</v>
      </c>
      <c r="N10" s="704">
        <f>tertiair!M16</f>
        <v>0</v>
      </c>
      <c r="O10" s="704">
        <f ca="1">tertiair!N16</f>
        <v>4392.1035194640217</v>
      </c>
      <c r="P10" s="704">
        <f>tertiair!O16</f>
        <v>0</v>
      </c>
      <c r="Q10" s="705">
        <f>tertiair!P16</f>
        <v>57.2</v>
      </c>
      <c r="R10" s="707">
        <f ca="1">SUM(C10:Q10)</f>
        <v>192937.1573172994</v>
      </c>
      <c r="S10" s="67"/>
    </row>
    <row r="11" spans="1:19" s="459" customFormat="1">
      <c r="A11" s="858" t="s">
        <v>225</v>
      </c>
      <c r="B11" s="863"/>
      <c r="C11" s="704">
        <f>huishoudens!B8</f>
        <v>69016.384208720672</v>
      </c>
      <c r="D11" s="704">
        <f>huishoudens!C8</f>
        <v>0</v>
      </c>
      <c r="E11" s="704">
        <f>huishoudens!D8</f>
        <v>161342.04609600001</v>
      </c>
      <c r="F11" s="704">
        <f>huishoudens!E8</f>
        <v>8783.3871515173814</v>
      </c>
      <c r="G11" s="704">
        <f>huishoudens!F8</f>
        <v>101301.76721275835</v>
      </c>
      <c r="H11" s="704">
        <f>huishoudens!G8</f>
        <v>0</v>
      </c>
      <c r="I11" s="704">
        <f>huishoudens!H8</f>
        <v>0</v>
      </c>
      <c r="J11" s="704">
        <f>huishoudens!I8</f>
        <v>0</v>
      </c>
      <c r="K11" s="704">
        <f>huishoudens!J8</f>
        <v>0</v>
      </c>
      <c r="L11" s="704">
        <f>huishoudens!K8</f>
        <v>0</v>
      </c>
      <c r="M11" s="704">
        <f>huishoudens!L8</f>
        <v>0</v>
      </c>
      <c r="N11" s="704">
        <f>huishoudens!M8</f>
        <v>0</v>
      </c>
      <c r="O11" s="704">
        <f>huishoudens!N8</f>
        <v>35052.685715480984</v>
      </c>
      <c r="P11" s="704">
        <f>huishoudens!O8</f>
        <v>279.8366666666667</v>
      </c>
      <c r="Q11" s="705">
        <f>huishoudens!P8</f>
        <v>800.8</v>
      </c>
      <c r="R11" s="707">
        <f>SUM(C11:Q11)</f>
        <v>376576.90705114405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75654.66</v>
      </c>
      <c r="D13" s="704">
        <f>industrie!C18</f>
        <v>0</v>
      </c>
      <c r="E13" s="704">
        <f>industrie!D18</f>
        <v>30077.011404000001</v>
      </c>
      <c r="F13" s="704">
        <f>industrie!E18</f>
        <v>3420.3013444068483</v>
      </c>
      <c r="G13" s="704">
        <f>industrie!F18</f>
        <v>27785.065841779917</v>
      </c>
      <c r="H13" s="704">
        <f>industrie!G18</f>
        <v>0</v>
      </c>
      <c r="I13" s="704">
        <f>industrie!H18</f>
        <v>0</v>
      </c>
      <c r="J13" s="704">
        <f>industrie!I18</f>
        <v>0</v>
      </c>
      <c r="K13" s="704">
        <f>industrie!J18</f>
        <v>4.609454318414576</v>
      </c>
      <c r="L13" s="704">
        <f>industrie!K18</f>
        <v>0</v>
      </c>
      <c r="M13" s="704">
        <f>industrie!L18</f>
        <v>0</v>
      </c>
      <c r="N13" s="704">
        <f>industrie!M18</f>
        <v>0</v>
      </c>
      <c r="O13" s="704">
        <f>industrie!N18</f>
        <v>5028.548910136863</v>
      </c>
      <c r="P13" s="704">
        <f>industrie!O18</f>
        <v>0</v>
      </c>
      <c r="Q13" s="705">
        <f>industrie!P18</f>
        <v>0</v>
      </c>
      <c r="R13" s="707">
        <f>SUM(C13:Q13)</f>
        <v>141970.19695464204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236833.64120872066</v>
      </c>
      <c r="D15" s="709">
        <f t="shared" ref="D15:Q15" ca="1" si="0">SUM(D9:D14)</f>
        <v>34.071428571428577</v>
      </c>
      <c r="E15" s="709">
        <f t="shared" ca="1" si="0"/>
        <v>269591.23620885715</v>
      </c>
      <c r="F15" s="709">
        <f t="shared" si="0"/>
        <v>13258.609659322821</v>
      </c>
      <c r="G15" s="709">
        <f t="shared" ca="1" si="0"/>
        <v>146150.91855154643</v>
      </c>
      <c r="H15" s="709">
        <f t="shared" si="0"/>
        <v>0</v>
      </c>
      <c r="I15" s="709">
        <f t="shared" si="0"/>
        <v>0</v>
      </c>
      <c r="J15" s="709">
        <f t="shared" si="0"/>
        <v>0</v>
      </c>
      <c r="K15" s="709">
        <f t="shared" si="0"/>
        <v>4.609454318414576</v>
      </c>
      <c r="L15" s="709">
        <f t="shared" si="0"/>
        <v>0</v>
      </c>
      <c r="M15" s="709">
        <f t="shared" ca="1" si="0"/>
        <v>0</v>
      </c>
      <c r="N15" s="709">
        <f t="shared" si="0"/>
        <v>0</v>
      </c>
      <c r="O15" s="709">
        <f t="shared" ca="1" si="0"/>
        <v>44473.338145081871</v>
      </c>
      <c r="P15" s="709">
        <f t="shared" si="0"/>
        <v>279.8366666666667</v>
      </c>
      <c r="Q15" s="710">
        <f t="shared" si="0"/>
        <v>858</v>
      </c>
      <c r="R15" s="711">
        <f ca="1">SUM(R9:R14)</f>
        <v>711484.26132308552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5849.8903167340859</v>
      </c>
      <c r="I18" s="704">
        <f>transport!H54</f>
        <v>0</v>
      </c>
      <c r="J18" s="704">
        <f>transport!I54</f>
        <v>0</v>
      </c>
      <c r="K18" s="704">
        <f>transport!J54</f>
        <v>0</v>
      </c>
      <c r="L18" s="704">
        <f>transport!K54</f>
        <v>0</v>
      </c>
      <c r="M18" s="704">
        <f>transport!L54</f>
        <v>0</v>
      </c>
      <c r="N18" s="704">
        <f>transport!M54</f>
        <v>260.15893072770228</v>
      </c>
      <c r="O18" s="704">
        <f>transport!N54</f>
        <v>0</v>
      </c>
      <c r="P18" s="704">
        <f>transport!O54</f>
        <v>0</v>
      </c>
      <c r="Q18" s="705">
        <f>transport!P54</f>
        <v>0</v>
      </c>
      <c r="R18" s="707">
        <f>SUM(C18:Q18)</f>
        <v>6110.0492474617886</v>
      </c>
      <c r="S18" s="67"/>
    </row>
    <row r="19" spans="1:19" s="459" customFormat="1" ht="15" thickBot="1">
      <c r="A19" s="858" t="s">
        <v>307</v>
      </c>
      <c r="B19" s="863"/>
      <c r="C19" s="713">
        <f>transport!B14</f>
        <v>17.227907585776546</v>
      </c>
      <c r="D19" s="713">
        <f>transport!C14</f>
        <v>0</v>
      </c>
      <c r="E19" s="713">
        <f>transport!D14</f>
        <v>29.181465208674322</v>
      </c>
      <c r="F19" s="713">
        <f>transport!E14</f>
        <v>889.46318622574279</v>
      </c>
      <c r="G19" s="713">
        <f>transport!F14</f>
        <v>0</v>
      </c>
      <c r="H19" s="713">
        <f>transport!G14</f>
        <v>211230.41015951755</v>
      </c>
      <c r="I19" s="713">
        <f>transport!H14</f>
        <v>43700.400508378589</v>
      </c>
      <c r="J19" s="713">
        <f>transport!I14</f>
        <v>0</v>
      </c>
      <c r="K19" s="713">
        <f>transport!J14</f>
        <v>0</v>
      </c>
      <c r="L19" s="713">
        <f>transport!K14</f>
        <v>0</v>
      </c>
      <c r="M19" s="713">
        <f>transport!L14</f>
        <v>0</v>
      </c>
      <c r="N19" s="713">
        <f>transport!M14</f>
        <v>11399.769388307428</v>
      </c>
      <c r="O19" s="713">
        <f>transport!N14</f>
        <v>0</v>
      </c>
      <c r="P19" s="713">
        <f>transport!O14</f>
        <v>0</v>
      </c>
      <c r="Q19" s="714">
        <f>transport!P14</f>
        <v>0</v>
      </c>
      <c r="R19" s="715">
        <f>SUM(C19:Q19)</f>
        <v>267266.45261522371</v>
      </c>
      <c r="S19" s="67"/>
    </row>
    <row r="20" spans="1:19" s="459" customFormat="1" ht="15.75" thickBot="1">
      <c r="A20" s="716" t="s">
        <v>230</v>
      </c>
      <c r="B20" s="866"/>
      <c r="C20" s="861">
        <f>SUM(C17:C19)</f>
        <v>17.227907585776546</v>
      </c>
      <c r="D20" s="717">
        <f t="shared" ref="D20:R20" si="1">SUM(D17:D19)</f>
        <v>0</v>
      </c>
      <c r="E20" s="717">
        <f t="shared" si="1"/>
        <v>29.181465208674322</v>
      </c>
      <c r="F20" s="717">
        <f t="shared" si="1"/>
        <v>889.46318622574279</v>
      </c>
      <c r="G20" s="717">
        <f t="shared" si="1"/>
        <v>0</v>
      </c>
      <c r="H20" s="717">
        <f t="shared" si="1"/>
        <v>217080.30047625164</v>
      </c>
      <c r="I20" s="717">
        <f t="shared" si="1"/>
        <v>43700.400508378589</v>
      </c>
      <c r="J20" s="717">
        <f t="shared" si="1"/>
        <v>0</v>
      </c>
      <c r="K20" s="717">
        <f t="shared" si="1"/>
        <v>0</v>
      </c>
      <c r="L20" s="717">
        <f t="shared" si="1"/>
        <v>0</v>
      </c>
      <c r="M20" s="717">
        <f t="shared" si="1"/>
        <v>0</v>
      </c>
      <c r="N20" s="717">
        <f t="shared" si="1"/>
        <v>11659.928319035131</v>
      </c>
      <c r="O20" s="717">
        <f t="shared" si="1"/>
        <v>0</v>
      </c>
      <c r="P20" s="717">
        <f t="shared" si="1"/>
        <v>0</v>
      </c>
      <c r="Q20" s="718">
        <f t="shared" si="1"/>
        <v>0</v>
      </c>
      <c r="R20" s="719">
        <f t="shared" si="1"/>
        <v>273376.50186268549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8869.9830000000002</v>
      </c>
      <c r="D22" s="713">
        <f>+landbouw!C8</f>
        <v>0</v>
      </c>
      <c r="E22" s="713">
        <f>+landbouw!D8</f>
        <v>4604.273432</v>
      </c>
      <c r="F22" s="713">
        <f>+landbouw!E8</f>
        <v>111.77321266142003</v>
      </c>
      <c r="G22" s="713">
        <f>+landbouw!F8</f>
        <v>30603.663413515245</v>
      </c>
      <c r="H22" s="713">
        <f>+landbouw!G8</f>
        <v>0</v>
      </c>
      <c r="I22" s="713">
        <f>+landbouw!H8</f>
        <v>0</v>
      </c>
      <c r="J22" s="713">
        <f>+landbouw!I8</f>
        <v>0</v>
      </c>
      <c r="K22" s="713">
        <f>+landbouw!J8</f>
        <v>1333.9446127918925</v>
      </c>
      <c r="L22" s="713">
        <f>+landbouw!K8</f>
        <v>0</v>
      </c>
      <c r="M22" s="713">
        <f>+landbouw!L8</f>
        <v>0</v>
      </c>
      <c r="N22" s="713">
        <f>+landbouw!M8</f>
        <v>0</v>
      </c>
      <c r="O22" s="713">
        <f>+landbouw!N8</f>
        <v>0</v>
      </c>
      <c r="P22" s="713">
        <f>+landbouw!O8</f>
        <v>0</v>
      </c>
      <c r="Q22" s="714">
        <f>+landbouw!P8</f>
        <v>0</v>
      </c>
      <c r="R22" s="715">
        <f>SUM(C22:Q22)</f>
        <v>45523.637670968557</v>
      </c>
      <c r="S22" s="67"/>
    </row>
    <row r="23" spans="1:19" s="459" customFormat="1" ht="17.25" thickTop="1" thickBot="1">
      <c r="A23" s="720" t="s">
        <v>116</v>
      </c>
      <c r="B23" s="852"/>
      <c r="C23" s="721">
        <f ca="1">C20+C15+C22</f>
        <v>245720.85211630643</v>
      </c>
      <c r="D23" s="721">
        <f t="shared" ref="D23:Q23" ca="1" si="2">D20+D15+D22</f>
        <v>34.071428571428577</v>
      </c>
      <c r="E23" s="721">
        <f t="shared" ca="1" si="2"/>
        <v>274224.69110606582</v>
      </c>
      <c r="F23" s="721">
        <f t="shared" si="2"/>
        <v>14259.846058209983</v>
      </c>
      <c r="G23" s="721">
        <f t="shared" ca="1" si="2"/>
        <v>176754.58196506169</v>
      </c>
      <c r="H23" s="721">
        <f t="shared" si="2"/>
        <v>217080.30047625164</v>
      </c>
      <c r="I23" s="721">
        <f t="shared" si="2"/>
        <v>43700.400508378589</v>
      </c>
      <c r="J23" s="721">
        <f t="shared" si="2"/>
        <v>0</v>
      </c>
      <c r="K23" s="721">
        <f t="shared" si="2"/>
        <v>1338.554067110307</v>
      </c>
      <c r="L23" s="721">
        <f t="shared" si="2"/>
        <v>0</v>
      </c>
      <c r="M23" s="721">
        <f t="shared" ca="1" si="2"/>
        <v>0</v>
      </c>
      <c r="N23" s="721">
        <f t="shared" si="2"/>
        <v>11659.928319035131</v>
      </c>
      <c r="O23" s="721">
        <f t="shared" ca="1" si="2"/>
        <v>44473.338145081871</v>
      </c>
      <c r="P23" s="721">
        <f t="shared" si="2"/>
        <v>279.8366666666667</v>
      </c>
      <c r="Q23" s="722">
        <f t="shared" si="2"/>
        <v>858</v>
      </c>
      <c r="R23" s="723">
        <f ca="1">R20+R15+R22</f>
        <v>1030384.4008567395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18590.282053998752</v>
      </c>
      <c r="D36" s="704">
        <f ca="1">tertiair!C20</f>
        <v>8.0969747899159685</v>
      </c>
      <c r="E36" s="704">
        <f ca="1">tertiair!D20</f>
        <v>15790.780099189144</v>
      </c>
      <c r="F36" s="704">
        <f>tertiair!E20</f>
        <v>239.46710409148028</v>
      </c>
      <c r="G36" s="704">
        <f ca="1">tertiair!F20</f>
        <v>4556.1108277011808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39184.737059770472</v>
      </c>
    </row>
    <row r="37" spans="1:18">
      <c r="A37" s="873" t="s">
        <v>225</v>
      </c>
      <c r="B37" s="880"/>
      <c r="C37" s="704">
        <f ca="1">huishoudens!B12</f>
        <v>13921.418130038835</v>
      </c>
      <c r="D37" s="704">
        <f ca="1">huishoudens!C12</f>
        <v>0</v>
      </c>
      <c r="E37" s="704">
        <f>huishoudens!D12</f>
        <v>32591.093311392004</v>
      </c>
      <c r="F37" s="704">
        <f>huishoudens!E12</f>
        <v>1993.8288833944457</v>
      </c>
      <c r="G37" s="704">
        <f>huishoudens!F12</f>
        <v>27047.57184580648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75553.912170631767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15260.436596631249</v>
      </c>
      <c r="D39" s="704">
        <f ca="1">industrie!C22</f>
        <v>0</v>
      </c>
      <c r="E39" s="704">
        <f>industrie!D22</f>
        <v>6075.5563036080002</v>
      </c>
      <c r="F39" s="704">
        <f>industrie!E22</f>
        <v>776.40840518035463</v>
      </c>
      <c r="G39" s="704">
        <f>industrie!F22</f>
        <v>7418.6125797552386</v>
      </c>
      <c r="H39" s="704">
        <f>industrie!G22</f>
        <v>0</v>
      </c>
      <c r="I39" s="704">
        <f>industrie!H22</f>
        <v>0</v>
      </c>
      <c r="J39" s="704">
        <f>industrie!I22</f>
        <v>0</v>
      </c>
      <c r="K39" s="704">
        <f>industrie!J22</f>
        <v>1.6317468287187598</v>
      </c>
      <c r="L39" s="704">
        <f>industrie!K22</f>
        <v>0</v>
      </c>
      <c r="M39" s="704">
        <f>industrie!L22</f>
        <v>0</v>
      </c>
      <c r="N39" s="704">
        <f>industrie!M22</f>
        <v>0</v>
      </c>
      <c r="O39" s="704">
        <f>industrie!N22</f>
        <v>0</v>
      </c>
      <c r="P39" s="704">
        <f>industrie!O22</f>
        <v>0</v>
      </c>
      <c r="Q39" s="814">
        <f>industrie!P22</f>
        <v>0</v>
      </c>
      <c r="R39" s="906">
        <f ca="1">SUM(C39:Q39)</f>
        <v>29532.645632003561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47772.136780668836</v>
      </c>
      <c r="D41" s="749">
        <f t="shared" ref="D41:R41" ca="1" si="4">SUM(D35:D40)</f>
        <v>8.0969747899159685</v>
      </c>
      <c r="E41" s="749">
        <f t="shared" ca="1" si="4"/>
        <v>54457.429714189144</v>
      </c>
      <c r="F41" s="749">
        <f t="shared" si="4"/>
        <v>3009.7043926662809</v>
      </c>
      <c r="G41" s="749">
        <f t="shared" ca="1" si="4"/>
        <v>39022.295253262899</v>
      </c>
      <c r="H41" s="749">
        <f t="shared" si="4"/>
        <v>0</v>
      </c>
      <c r="I41" s="749">
        <f t="shared" si="4"/>
        <v>0</v>
      </c>
      <c r="J41" s="749">
        <f t="shared" si="4"/>
        <v>0</v>
      </c>
      <c r="K41" s="749">
        <f t="shared" si="4"/>
        <v>1.6317468287187598</v>
      </c>
      <c r="L41" s="749">
        <f t="shared" si="4"/>
        <v>0</v>
      </c>
      <c r="M41" s="749">
        <f t="shared" ca="1" si="4"/>
        <v>0</v>
      </c>
      <c r="N41" s="749">
        <f t="shared" si="4"/>
        <v>0</v>
      </c>
      <c r="O41" s="749">
        <f t="shared" ca="1" si="4"/>
        <v>0</v>
      </c>
      <c r="P41" s="749">
        <f t="shared" si="4"/>
        <v>0</v>
      </c>
      <c r="Q41" s="750">
        <f t="shared" si="4"/>
        <v>0</v>
      </c>
      <c r="R41" s="751">
        <f t="shared" ca="1" si="4"/>
        <v>144271.2948624058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1561.9207145680011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1561.9207145680011</v>
      </c>
    </row>
    <row r="45" spans="1:18" ht="15" thickBot="1">
      <c r="A45" s="876" t="s">
        <v>307</v>
      </c>
      <c r="B45" s="886"/>
      <c r="C45" s="713">
        <f ca="1">transport!B18</f>
        <v>3.4750720101757842</v>
      </c>
      <c r="D45" s="713">
        <f>transport!C18</f>
        <v>0</v>
      </c>
      <c r="E45" s="713">
        <f>transport!D18</f>
        <v>5.8946559721522132</v>
      </c>
      <c r="F45" s="713">
        <f>transport!E18</f>
        <v>201.90814327324361</v>
      </c>
      <c r="G45" s="713">
        <f>transport!F18</f>
        <v>0</v>
      </c>
      <c r="H45" s="713">
        <f>transport!G18</f>
        <v>56398.519512591185</v>
      </c>
      <c r="I45" s="713">
        <f>transport!H18</f>
        <v>10881.399726586269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67491.19711043303</v>
      </c>
    </row>
    <row r="46" spans="1:18" ht="15.75" thickBot="1">
      <c r="A46" s="874" t="s">
        <v>230</v>
      </c>
      <c r="B46" s="887"/>
      <c r="C46" s="749">
        <f t="shared" ref="C46:R46" ca="1" si="5">SUM(C43:C45)</f>
        <v>3.4750720101757842</v>
      </c>
      <c r="D46" s="749">
        <f t="shared" ca="1" si="5"/>
        <v>0</v>
      </c>
      <c r="E46" s="749">
        <f t="shared" si="5"/>
        <v>5.8946559721522132</v>
      </c>
      <c r="F46" s="749">
        <f t="shared" si="5"/>
        <v>201.90814327324361</v>
      </c>
      <c r="G46" s="749">
        <f t="shared" si="5"/>
        <v>0</v>
      </c>
      <c r="H46" s="749">
        <f t="shared" si="5"/>
        <v>57960.440227159183</v>
      </c>
      <c r="I46" s="749">
        <f t="shared" si="5"/>
        <v>10881.399726586269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69053.117825001027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1789.1801137523719</v>
      </c>
      <c r="D48" s="704">
        <f ca="1">+landbouw!C12</f>
        <v>0</v>
      </c>
      <c r="E48" s="704">
        <f>+landbouw!D12</f>
        <v>930.06323326400002</v>
      </c>
      <c r="F48" s="704">
        <f>+landbouw!E12</f>
        <v>25.372519274142348</v>
      </c>
      <c r="G48" s="704">
        <f>+landbouw!F12</f>
        <v>8171.1781314085711</v>
      </c>
      <c r="H48" s="704">
        <f>+landbouw!G12</f>
        <v>0</v>
      </c>
      <c r="I48" s="704">
        <f>+landbouw!H12</f>
        <v>0</v>
      </c>
      <c r="J48" s="704">
        <f>+landbouw!I12</f>
        <v>0</v>
      </c>
      <c r="K48" s="704">
        <f>+landbouw!J12</f>
        <v>472.21639292832992</v>
      </c>
      <c r="L48" s="704">
        <f>+landbouw!K12</f>
        <v>0</v>
      </c>
      <c r="M48" s="704">
        <f>+landbouw!L12</f>
        <v>0</v>
      </c>
      <c r="N48" s="704">
        <f>+landbouw!M12</f>
        <v>0</v>
      </c>
      <c r="O48" s="704">
        <f>+landbouw!N12</f>
        <v>0</v>
      </c>
      <c r="P48" s="704">
        <f>+landbouw!O12</f>
        <v>0</v>
      </c>
      <c r="Q48" s="705">
        <f>+landbouw!P12</f>
        <v>0</v>
      </c>
      <c r="R48" s="747">
        <f ca="1">SUM(C48:Q48)</f>
        <v>11388.010390627416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49564.791966431381</v>
      </c>
      <c r="D53" s="759">
        <f t="shared" ref="D53:Q53" ca="1" si="6">D41+D46+D48</f>
        <v>8.0969747899159685</v>
      </c>
      <c r="E53" s="759">
        <f t="shared" ca="1" si="6"/>
        <v>55393.387603425297</v>
      </c>
      <c r="F53" s="759">
        <f t="shared" si="6"/>
        <v>3236.9850552136668</v>
      </c>
      <c r="G53" s="759">
        <f t="shared" ca="1" si="6"/>
        <v>47193.473384671466</v>
      </c>
      <c r="H53" s="759">
        <f t="shared" si="6"/>
        <v>57960.440227159183</v>
      </c>
      <c r="I53" s="759">
        <f t="shared" si="6"/>
        <v>10881.399726586269</v>
      </c>
      <c r="J53" s="759">
        <f t="shared" si="6"/>
        <v>0</v>
      </c>
      <c r="K53" s="759">
        <f t="shared" si="6"/>
        <v>473.84813975704867</v>
      </c>
      <c r="L53" s="759">
        <f t="shared" si="6"/>
        <v>0</v>
      </c>
      <c r="M53" s="759">
        <f t="shared" ca="1" si="6"/>
        <v>0</v>
      </c>
      <c r="N53" s="759">
        <f t="shared" si="6"/>
        <v>0</v>
      </c>
      <c r="O53" s="759">
        <f t="shared" ca="1" si="6"/>
        <v>0</v>
      </c>
      <c r="P53" s="759">
        <f>P41+P46+P48</f>
        <v>0</v>
      </c>
      <c r="Q53" s="760">
        <f t="shared" si="6"/>
        <v>0</v>
      </c>
      <c r="R53" s="761">
        <f ca="1">R41+R46+R48</f>
        <v>224712.42307803425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0.2017117861164302</v>
      </c>
      <c r="D55" s="824">
        <f t="shared" ca="1" si="7"/>
        <v>0.23764705882352943</v>
      </c>
      <c r="E55" s="824">
        <f t="shared" ca="1" si="7"/>
        <v>0.20200000000000001</v>
      </c>
      <c r="F55" s="824">
        <f t="shared" si="7"/>
        <v>0.22700000000000004</v>
      </c>
      <c r="G55" s="824">
        <f t="shared" ca="1" si="7"/>
        <v>0.26699999999999996</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20952.571871607637</v>
      </c>
      <c r="C66" s="781">
        <f>'lokale energieproductie'!B6</f>
        <v>20952.571871607637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23.85</v>
      </c>
      <c r="C67" s="780">
        <f>B67*IFERROR(SUM(J67:L67)/SUM(D67:M67),0)</f>
        <v>0</v>
      </c>
      <c r="D67" s="812">
        <f>'lokale energieproductie'!C7</f>
        <v>28.058823529411768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71"/>
      <c r="R67" s="728"/>
    </row>
    <row r="68" spans="1:18" ht="30.75" thickBot="1">
      <c r="A68" s="787" t="s">
        <v>353</v>
      </c>
      <c r="B68" s="780">
        <f>'lokale energieproductie'!B8</f>
        <v>495</v>
      </c>
      <c r="C68" s="780">
        <f>B68*IFERROR(SUM(J68:L68)/SUM(D68:M68),0)</f>
        <v>495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1414.2857142857144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21471.421871607636</v>
      </c>
      <c r="C69" s="789">
        <f>SUM(C64:C68)</f>
        <v>21447.571871607637</v>
      </c>
      <c r="D69" s="790">
        <f t="shared" ref="D69:M69" si="8">SUM(D67:D68)</f>
        <v>28.058823529411768</v>
      </c>
      <c r="E69" s="790">
        <f t="shared" si="8"/>
        <v>0</v>
      </c>
      <c r="F69" s="790">
        <f t="shared" si="8"/>
        <v>0</v>
      </c>
      <c r="G69" s="790">
        <f t="shared" si="8"/>
        <v>0</v>
      </c>
      <c r="H69" s="790">
        <f t="shared" si="8"/>
        <v>0</v>
      </c>
      <c r="I69" s="790">
        <f t="shared" si="8"/>
        <v>0</v>
      </c>
      <c r="J69" s="790">
        <f t="shared" si="8"/>
        <v>0</v>
      </c>
      <c r="K69" s="790">
        <f t="shared" si="8"/>
        <v>1414.2857142857144</v>
      </c>
      <c r="L69" s="790">
        <f t="shared" si="8"/>
        <v>0</v>
      </c>
      <c r="M69" s="918">
        <f t="shared" si="8"/>
        <v>0</v>
      </c>
      <c r="N69" s="791">
        <v>0</v>
      </c>
      <c r="O69" s="791">
        <f>SUM(O67:O68)</f>
        <v>5.6678823529411773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34.071428571428577</v>
      </c>
      <c r="C78" s="803">
        <f>B78*IFERROR(SUM(I78:L78)/SUM(D78:M78),0)</f>
        <v>0</v>
      </c>
      <c r="D78" s="818">
        <f>'lokale energieproductie'!C16</f>
        <v>40.084033613445385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34.071428571428577</v>
      </c>
      <c r="C81" s="789">
        <f>SUM(C78:C80)</f>
        <v>0</v>
      </c>
      <c r="D81" s="789">
        <f t="shared" ref="D81:P81" si="9">SUM(D78:D80)</f>
        <v>40.084033613445385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8.0969747899159685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69016.384208720672</v>
      </c>
      <c r="C4" s="463">
        <f>huishoudens!C8</f>
        <v>0</v>
      </c>
      <c r="D4" s="463">
        <f>huishoudens!D8</f>
        <v>161342.04609600001</v>
      </c>
      <c r="E4" s="463">
        <f>huishoudens!E8</f>
        <v>8783.3871515173814</v>
      </c>
      <c r="F4" s="463">
        <f>huishoudens!F8</f>
        <v>101301.76721275835</v>
      </c>
      <c r="G4" s="463">
        <f>huishoudens!G8</f>
        <v>0</v>
      </c>
      <c r="H4" s="463">
        <f>huishoudens!H8</f>
        <v>0</v>
      </c>
      <c r="I4" s="463">
        <f>huishoudens!I8</f>
        <v>0</v>
      </c>
      <c r="J4" s="463">
        <f>huishoudens!J8</f>
        <v>0</v>
      </c>
      <c r="K4" s="463">
        <f>huishoudens!K8</f>
        <v>0</v>
      </c>
      <c r="L4" s="463">
        <f>huishoudens!L8</f>
        <v>0</v>
      </c>
      <c r="M4" s="463">
        <f>huishoudens!M8</f>
        <v>0</v>
      </c>
      <c r="N4" s="463">
        <f>huishoudens!N8</f>
        <v>35052.685715480984</v>
      </c>
      <c r="O4" s="463">
        <f>huishoudens!O8</f>
        <v>279.8366666666667</v>
      </c>
      <c r="P4" s="464">
        <f>huishoudens!P8</f>
        <v>800.8</v>
      </c>
      <c r="Q4" s="465">
        <f>SUM(B4:P4)</f>
        <v>376576.90705114405</v>
      </c>
    </row>
    <row r="5" spans="1:17">
      <c r="A5" s="462" t="s">
        <v>156</v>
      </c>
      <c r="B5" s="463">
        <f ca="1">tertiair!B16</f>
        <v>89811.914999999994</v>
      </c>
      <c r="C5" s="463">
        <f ca="1">tertiair!C16</f>
        <v>34.071428571428577</v>
      </c>
      <c r="D5" s="463">
        <f ca="1">tertiair!D16</f>
        <v>78172.178708857144</v>
      </c>
      <c r="E5" s="463">
        <f>tertiair!E16</f>
        <v>1054.9211633985915</v>
      </c>
      <c r="F5" s="463">
        <f ca="1">tertiair!F16</f>
        <v>17064.085497008167</v>
      </c>
      <c r="G5" s="463">
        <f>tertiair!G16</f>
        <v>0</v>
      </c>
      <c r="H5" s="463">
        <f>tertiair!H16</f>
        <v>0</v>
      </c>
      <c r="I5" s="463">
        <f>tertiair!I16</f>
        <v>0</v>
      </c>
      <c r="J5" s="463">
        <f>tertiair!J16</f>
        <v>0</v>
      </c>
      <c r="K5" s="463">
        <f>tertiair!K16</f>
        <v>0</v>
      </c>
      <c r="L5" s="463">
        <f ca="1">tertiair!L16</f>
        <v>0</v>
      </c>
      <c r="M5" s="463">
        <f>tertiair!M16</f>
        <v>0</v>
      </c>
      <c r="N5" s="463">
        <f ca="1">tertiair!N16</f>
        <v>4392.1035194640217</v>
      </c>
      <c r="O5" s="463">
        <f>tertiair!O16</f>
        <v>0</v>
      </c>
      <c r="P5" s="464">
        <f>tertiair!P16</f>
        <v>57.2</v>
      </c>
      <c r="Q5" s="462">
        <f t="shared" ref="Q5:Q13" ca="1" si="0">SUM(B5:P5)</f>
        <v>190586.47531729937</v>
      </c>
    </row>
    <row r="6" spans="1:17">
      <c r="A6" s="462" t="s">
        <v>194</v>
      </c>
      <c r="B6" s="463">
        <f>'openbare verlichting'!B8</f>
        <v>2350.6819999999998</v>
      </c>
      <c r="C6" s="463"/>
      <c r="D6" s="463"/>
      <c r="E6" s="463"/>
      <c r="F6" s="463"/>
      <c r="G6" s="463"/>
      <c r="H6" s="463"/>
      <c r="I6" s="463"/>
      <c r="J6" s="463"/>
      <c r="K6" s="463"/>
      <c r="L6" s="463"/>
      <c r="M6" s="463"/>
      <c r="N6" s="463"/>
      <c r="O6" s="463"/>
      <c r="P6" s="464"/>
      <c r="Q6" s="462">
        <f t="shared" si="0"/>
        <v>2350.6819999999998</v>
      </c>
    </row>
    <row r="7" spans="1:17">
      <c r="A7" s="462" t="s">
        <v>112</v>
      </c>
      <c r="B7" s="463">
        <f>landbouw!B8</f>
        <v>8869.9830000000002</v>
      </c>
      <c r="C7" s="463">
        <f>landbouw!C8</f>
        <v>0</v>
      </c>
      <c r="D7" s="463">
        <f>landbouw!D8</f>
        <v>4604.273432</v>
      </c>
      <c r="E7" s="463">
        <f>landbouw!E8</f>
        <v>111.77321266142003</v>
      </c>
      <c r="F7" s="463">
        <f>landbouw!F8</f>
        <v>30603.663413515245</v>
      </c>
      <c r="G7" s="463">
        <f>landbouw!G8</f>
        <v>0</v>
      </c>
      <c r="H7" s="463">
        <f>landbouw!H8</f>
        <v>0</v>
      </c>
      <c r="I7" s="463">
        <f>landbouw!I8</f>
        <v>0</v>
      </c>
      <c r="J7" s="463">
        <f>landbouw!J8</f>
        <v>1333.9446127918925</v>
      </c>
      <c r="K7" s="463">
        <f>landbouw!K8</f>
        <v>0</v>
      </c>
      <c r="L7" s="463">
        <f>landbouw!L8</f>
        <v>0</v>
      </c>
      <c r="M7" s="463">
        <f>landbouw!M8</f>
        <v>0</v>
      </c>
      <c r="N7" s="463">
        <f>landbouw!N8</f>
        <v>0</v>
      </c>
      <c r="O7" s="463">
        <f>landbouw!O8</f>
        <v>0</v>
      </c>
      <c r="P7" s="464">
        <f>landbouw!P8</f>
        <v>0</v>
      </c>
      <c r="Q7" s="462">
        <f t="shared" si="0"/>
        <v>45523.637670968557</v>
      </c>
    </row>
    <row r="8" spans="1:17">
      <c r="A8" s="462" t="s">
        <v>657</v>
      </c>
      <c r="B8" s="463">
        <f>industrie!B18</f>
        <v>75654.66</v>
      </c>
      <c r="C8" s="463">
        <f>industrie!C18</f>
        <v>0</v>
      </c>
      <c r="D8" s="463">
        <f>industrie!D18</f>
        <v>30077.011404000001</v>
      </c>
      <c r="E8" s="463">
        <f>industrie!E18</f>
        <v>3420.3013444068483</v>
      </c>
      <c r="F8" s="463">
        <f>industrie!F18</f>
        <v>27785.065841779917</v>
      </c>
      <c r="G8" s="463">
        <f>industrie!G18</f>
        <v>0</v>
      </c>
      <c r="H8" s="463">
        <f>industrie!H18</f>
        <v>0</v>
      </c>
      <c r="I8" s="463">
        <f>industrie!I18</f>
        <v>0</v>
      </c>
      <c r="J8" s="463">
        <f>industrie!J18</f>
        <v>4.609454318414576</v>
      </c>
      <c r="K8" s="463">
        <f>industrie!K18</f>
        <v>0</v>
      </c>
      <c r="L8" s="463">
        <f>industrie!L18</f>
        <v>0</v>
      </c>
      <c r="M8" s="463">
        <f>industrie!M18</f>
        <v>0</v>
      </c>
      <c r="N8" s="463">
        <f>industrie!N18</f>
        <v>5028.548910136863</v>
      </c>
      <c r="O8" s="463">
        <f>industrie!O18</f>
        <v>0</v>
      </c>
      <c r="P8" s="464">
        <f>industrie!P18</f>
        <v>0</v>
      </c>
      <c r="Q8" s="462">
        <f t="shared" si="0"/>
        <v>141970.19695464204</v>
      </c>
    </row>
    <row r="9" spans="1:17" s="468" customFormat="1">
      <c r="A9" s="466" t="s">
        <v>574</v>
      </c>
      <c r="B9" s="467">
        <f>transport!B14</f>
        <v>17.227907585776546</v>
      </c>
      <c r="C9" s="467">
        <f>transport!C14</f>
        <v>0</v>
      </c>
      <c r="D9" s="467">
        <f>transport!D14</f>
        <v>29.181465208674322</v>
      </c>
      <c r="E9" s="467">
        <f>transport!E14</f>
        <v>889.46318622574279</v>
      </c>
      <c r="F9" s="467">
        <f>transport!F14</f>
        <v>0</v>
      </c>
      <c r="G9" s="467">
        <f>transport!G14</f>
        <v>211230.41015951755</v>
      </c>
      <c r="H9" s="467">
        <f>transport!H14</f>
        <v>43700.400508378589</v>
      </c>
      <c r="I9" s="467">
        <f>transport!I14</f>
        <v>0</v>
      </c>
      <c r="J9" s="467">
        <f>transport!J14</f>
        <v>0</v>
      </c>
      <c r="K9" s="467">
        <f>transport!K14</f>
        <v>0</v>
      </c>
      <c r="L9" s="467">
        <f>transport!L14</f>
        <v>0</v>
      </c>
      <c r="M9" s="467">
        <f>transport!M14</f>
        <v>11399.769388307428</v>
      </c>
      <c r="N9" s="467">
        <f>transport!N14</f>
        <v>0</v>
      </c>
      <c r="O9" s="467">
        <f>transport!O14</f>
        <v>0</v>
      </c>
      <c r="P9" s="467">
        <f>transport!P14</f>
        <v>0</v>
      </c>
      <c r="Q9" s="466">
        <f>SUM(B9:P9)</f>
        <v>267266.45261522371</v>
      </c>
    </row>
    <row r="10" spans="1:17">
      <c r="A10" s="462" t="s">
        <v>564</v>
      </c>
      <c r="B10" s="463">
        <f>transport!B54</f>
        <v>0</v>
      </c>
      <c r="C10" s="463">
        <f>transport!C54</f>
        <v>0</v>
      </c>
      <c r="D10" s="463">
        <f>transport!D54</f>
        <v>0</v>
      </c>
      <c r="E10" s="463">
        <f>transport!E54</f>
        <v>0</v>
      </c>
      <c r="F10" s="463">
        <f>transport!F54</f>
        <v>0</v>
      </c>
      <c r="G10" s="463">
        <f>transport!G54</f>
        <v>5849.8903167340859</v>
      </c>
      <c r="H10" s="463">
        <f>transport!H54</f>
        <v>0</v>
      </c>
      <c r="I10" s="463">
        <f>transport!I54</f>
        <v>0</v>
      </c>
      <c r="J10" s="463">
        <f>transport!J54</f>
        <v>0</v>
      </c>
      <c r="K10" s="463">
        <f>transport!K54</f>
        <v>0</v>
      </c>
      <c r="L10" s="463">
        <f>transport!L54</f>
        <v>0</v>
      </c>
      <c r="M10" s="463">
        <f>transport!M54</f>
        <v>260.15893072770228</v>
      </c>
      <c r="N10" s="463">
        <f>transport!N54</f>
        <v>0</v>
      </c>
      <c r="O10" s="463">
        <f>transport!O54</f>
        <v>0</v>
      </c>
      <c r="P10" s="464">
        <f>transport!P54</f>
        <v>0</v>
      </c>
      <c r="Q10" s="462">
        <f t="shared" si="0"/>
        <v>6110.0492474617886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245720.85211630646</v>
      </c>
      <c r="C14" s="473">
        <f t="shared" ref="C14:Q14" ca="1" si="1">SUM(C4:C13)</f>
        <v>34.071428571428577</v>
      </c>
      <c r="D14" s="473">
        <f t="shared" ca="1" si="1"/>
        <v>274224.69110606582</v>
      </c>
      <c r="E14" s="473">
        <f t="shared" si="1"/>
        <v>14259.846058209981</v>
      </c>
      <c r="F14" s="473">
        <f t="shared" ca="1" si="1"/>
        <v>176754.58196506169</v>
      </c>
      <c r="G14" s="473">
        <f t="shared" si="1"/>
        <v>217080.30047625164</v>
      </c>
      <c r="H14" s="473">
        <f t="shared" si="1"/>
        <v>43700.400508378589</v>
      </c>
      <c r="I14" s="473">
        <f t="shared" si="1"/>
        <v>0</v>
      </c>
      <c r="J14" s="473">
        <f t="shared" si="1"/>
        <v>1338.554067110307</v>
      </c>
      <c r="K14" s="473">
        <f t="shared" si="1"/>
        <v>0</v>
      </c>
      <c r="L14" s="473">
        <f t="shared" ca="1" si="1"/>
        <v>0</v>
      </c>
      <c r="M14" s="473">
        <f t="shared" si="1"/>
        <v>11659.928319035131</v>
      </c>
      <c r="N14" s="473">
        <f t="shared" ca="1" si="1"/>
        <v>44473.338145081871</v>
      </c>
      <c r="O14" s="473">
        <f t="shared" si="1"/>
        <v>279.8366666666667</v>
      </c>
      <c r="P14" s="474">
        <f t="shared" si="1"/>
        <v>858</v>
      </c>
      <c r="Q14" s="474">
        <f t="shared" ca="1" si="1"/>
        <v>1030384.4008567396</v>
      </c>
    </row>
    <row r="16" spans="1:17">
      <c r="A16" s="476" t="s">
        <v>569</v>
      </c>
      <c r="B16" s="829">
        <f ca="1">huishoudens!B10</f>
        <v>0.2017117861164302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13921.418130038835</v>
      </c>
      <c r="C21" s="463">
        <f t="shared" ref="C21:C30" ca="1" si="3">C4*$C$16</f>
        <v>0</v>
      </c>
      <c r="D21" s="463">
        <f t="shared" ref="D21:D30" si="4">D4*$D$16</f>
        <v>32591.093311392004</v>
      </c>
      <c r="E21" s="463">
        <f t="shared" ref="E21:E30" si="5">E4*$E$16</f>
        <v>1993.8288833944457</v>
      </c>
      <c r="F21" s="463">
        <f t="shared" ref="F21:F30" si="6">F4*$F$16</f>
        <v>27047.57184580648</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75553.912170631767</v>
      </c>
    </row>
    <row r="22" spans="1:17">
      <c r="A22" s="462" t="s">
        <v>156</v>
      </c>
      <c r="B22" s="463">
        <f t="shared" ca="1" si="2"/>
        <v>18116.121789187007</v>
      </c>
      <c r="C22" s="463">
        <f t="shared" ca="1" si="3"/>
        <v>8.0969747899159685</v>
      </c>
      <c r="D22" s="463">
        <f t="shared" ca="1" si="4"/>
        <v>15790.780099189144</v>
      </c>
      <c r="E22" s="463">
        <f t="shared" si="5"/>
        <v>239.46710409148028</v>
      </c>
      <c r="F22" s="463">
        <f t="shared" ca="1" si="6"/>
        <v>4556.1108277011808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38710.576794958732</v>
      </c>
    </row>
    <row r="23" spans="1:17">
      <c r="A23" s="462" t="s">
        <v>194</v>
      </c>
      <c r="B23" s="463">
        <f t="shared" ca="1" si="2"/>
        <v>474.16026481174237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474.16026481174237</v>
      </c>
    </row>
    <row r="24" spans="1:17">
      <c r="A24" s="462" t="s">
        <v>112</v>
      </c>
      <c r="B24" s="463">
        <f t="shared" ca="1" si="2"/>
        <v>1789.1801137523719</v>
      </c>
      <c r="C24" s="463">
        <f t="shared" ca="1" si="3"/>
        <v>0</v>
      </c>
      <c r="D24" s="463">
        <f t="shared" si="4"/>
        <v>930.06323326400002</v>
      </c>
      <c r="E24" s="463">
        <f t="shared" si="5"/>
        <v>25.372519274142348</v>
      </c>
      <c r="F24" s="463">
        <f t="shared" si="6"/>
        <v>8171.1781314085711</v>
      </c>
      <c r="G24" s="463">
        <f t="shared" si="7"/>
        <v>0</v>
      </c>
      <c r="H24" s="463">
        <f t="shared" si="8"/>
        <v>0</v>
      </c>
      <c r="I24" s="463">
        <f t="shared" si="9"/>
        <v>0</v>
      </c>
      <c r="J24" s="463">
        <f t="shared" si="10"/>
        <v>472.21639292832992</v>
      </c>
      <c r="K24" s="463">
        <f t="shared" si="11"/>
        <v>0</v>
      </c>
      <c r="L24" s="463">
        <f t="shared" si="12"/>
        <v>0</v>
      </c>
      <c r="M24" s="463">
        <f t="shared" si="13"/>
        <v>0</v>
      </c>
      <c r="N24" s="463">
        <f t="shared" si="14"/>
        <v>0</v>
      </c>
      <c r="O24" s="463">
        <f t="shared" si="15"/>
        <v>0</v>
      </c>
      <c r="P24" s="464">
        <f t="shared" si="16"/>
        <v>0</v>
      </c>
      <c r="Q24" s="462">
        <f t="shared" ca="1" si="17"/>
        <v>11388.010390627416</v>
      </c>
    </row>
    <row r="25" spans="1:17">
      <c r="A25" s="462" t="s">
        <v>657</v>
      </c>
      <c r="B25" s="463">
        <f t="shared" ca="1" si="2"/>
        <v>15260.436596631249</v>
      </c>
      <c r="C25" s="463">
        <f t="shared" ca="1" si="3"/>
        <v>0</v>
      </c>
      <c r="D25" s="463">
        <f t="shared" si="4"/>
        <v>6075.5563036080002</v>
      </c>
      <c r="E25" s="463">
        <f t="shared" si="5"/>
        <v>776.40840518035463</v>
      </c>
      <c r="F25" s="463">
        <f t="shared" si="6"/>
        <v>7418.6125797552386</v>
      </c>
      <c r="G25" s="463">
        <f t="shared" si="7"/>
        <v>0</v>
      </c>
      <c r="H25" s="463">
        <f t="shared" si="8"/>
        <v>0</v>
      </c>
      <c r="I25" s="463">
        <f t="shared" si="9"/>
        <v>0</v>
      </c>
      <c r="J25" s="463">
        <f t="shared" si="10"/>
        <v>1.6317468287187598</v>
      </c>
      <c r="K25" s="463">
        <f t="shared" si="11"/>
        <v>0</v>
      </c>
      <c r="L25" s="463">
        <f t="shared" si="12"/>
        <v>0</v>
      </c>
      <c r="M25" s="463">
        <f t="shared" si="13"/>
        <v>0</v>
      </c>
      <c r="N25" s="463">
        <f t="shared" si="14"/>
        <v>0</v>
      </c>
      <c r="O25" s="463">
        <f t="shared" si="15"/>
        <v>0</v>
      </c>
      <c r="P25" s="464">
        <f t="shared" si="16"/>
        <v>0</v>
      </c>
      <c r="Q25" s="462">
        <f t="shared" ca="1" si="17"/>
        <v>29532.645632003561</v>
      </c>
    </row>
    <row r="26" spans="1:17" s="468" customFormat="1">
      <c r="A26" s="466" t="s">
        <v>574</v>
      </c>
      <c r="B26" s="823">
        <f t="shared" ca="1" si="2"/>
        <v>3.4750720101757842</v>
      </c>
      <c r="C26" s="467">
        <f t="shared" ca="1" si="3"/>
        <v>0</v>
      </c>
      <c r="D26" s="467">
        <f t="shared" si="4"/>
        <v>5.8946559721522132</v>
      </c>
      <c r="E26" s="467">
        <f t="shared" si="5"/>
        <v>201.90814327324361</v>
      </c>
      <c r="F26" s="467">
        <f t="shared" si="6"/>
        <v>0</v>
      </c>
      <c r="G26" s="467">
        <f t="shared" si="7"/>
        <v>56398.519512591185</v>
      </c>
      <c r="H26" s="467">
        <f t="shared" si="8"/>
        <v>10881.399726586269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67491.19711043303</v>
      </c>
    </row>
    <row r="27" spans="1:17">
      <c r="A27" s="462" t="s">
        <v>564</v>
      </c>
      <c r="B27" s="463">
        <f t="shared" ca="1" si="2"/>
        <v>0</v>
      </c>
      <c r="C27" s="463">
        <f t="shared" ca="1" si="3"/>
        <v>0</v>
      </c>
      <c r="D27" s="463">
        <f t="shared" si="4"/>
        <v>0</v>
      </c>
      <c r="E27" s="463">
        <f t="shared" si="5"/>
        <v>0</v>
      </c>
      <c r="F27" s="463">
        <f t="shared" si="6"/>
        <v>0</v>
      </c>
      <c r="G27" s="463">
        <f t="shared" si="7"/>
        <v>1561.9207145680011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1561.9207145680011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49564.791966431374</v>
      </c>
      <c r="C31" s="473">
        <f t="shared" ca="1" si="18"/>
        <v>8.0969747899159685</v>
      </c>
      <c r="D31" s="473">
        <f t="shared" ca="1" si="18"/>
        <v>55393.387603425297</v>
      </c>
      <c r="E31" s="473">
        <f t="shared" si="18"/>
        <v>3236.9850552136668</v>
      </c>
      <c r="F31" s="473">
        <f t="shared" ca="1" si="18"/>
        <v>47193.473384671466</v>
      </c>
      <c r="G31" s="473">
        <f t="shared" si="18"/>
        <v>57960.440227159183</v>
      </c>
      <c r="H31" s="473">
        <f t="shared" si="18"/>
        <v>10881.399726586269</v>
      </c>
      <c r="I31" s="473">
        <f t="shared" si="18"/>
        <v>0</v>
      </c>
      <c r="J31" s="473">
        <f t="shared" si="18"/>
        <v>473.84813975704867</v>
      </c>
      <c r="K31" s="473">
        <f t="shared" si="18"/>
        <v>0</v>
      </c>
      <c r="L31" s="473">
        <f t="shared" ca="1" si="18"/>
        <v>0</v>
      </c>
      <c r="M31" s="473">
        <f t="shared" si="18"/>
        <v>0</v>
      </c>
      <c r="N31" s="473">
        <f t="shared" ca="1" si="18"/>
        <v>0</v>
      </c>
      <c r="O31" s="473">
        <f t="shared" si="18"/>
        <v>0</v>
      </c>
      <c r="P31" s="474">
        <f t="shared" si="18"/>
        <v>0</v>
      </c>
      <c r="Q31" s="474">
        <f t="shared" ca="1" si="18"/>
        <v>224712.42307803425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0.2017117861164302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0.2017117861164302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0.2017117861164302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2018-06-27T09:32:43Z</dcterms:modified>
</cp:coreProperties>
</file>