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<sst xmlns="http://schemas.openxmlformats.org/spreadsheetml/2006/main" count="1961" uniqueCount="840">
  <si>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</si>
  <si>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</si>
  <si>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</si>
  <si>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</si>
  <si>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</si>
  <si>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</si>
  <si>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</si>
  <si>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</si>
  <si>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</si>
  <si>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</si>
  <si>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</si>
  <si>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</si>
  <si>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</si>
  <si>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</si>
  <si>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</si>
  <si>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</si>
  <si>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</si>
  <si>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</si>
  <si>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</si>
  <si>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</si>
  <si>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</si>
  <si>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</si>
  <si>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</si>
  <si>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</si>
  <si>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</si>
  <si>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</si>
  <si>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</si>
  <si>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</si>
  <si>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</si>
  <si>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</si>
  <si>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</si>
  <si>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</si>
  <si>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</si>
  <si>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</si>
  <si>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</si>
  <si>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</si>
  <si>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</si>
  <si>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</si>
  <si>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</si>
  <si>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</si>
  <si>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</si>
  <si>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</si>
  <si>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</si>
  <si>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</si>
  <si>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</si>
  <si>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</si>
  <si>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</si>
  <si>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</si>
  <si>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</si>
  <si>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</si>
  <si>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</si>
  <si>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</si>
  <si>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</si>
  <si>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</si>
  <si>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</si>
  <si>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</si>
  <si>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</si>
  <si>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</si>
  <si>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</si>
  <si>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</si>
  <si>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</si>
  <si>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</si>
  <si>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</si>
  <si>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</si>
  <si>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</si>
  <si>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</si>
  <si>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</si>
  <si>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</si>
  <si>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</si>
  <si>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</si>
  <si>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</si>
  <si>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</si>
  <si>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</si>
  <si>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</si>
  <si>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</si>
  <si>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</si>
  <si>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</si>
  <si>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</si>
  <si>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</si>
  <si>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</si>
  <si>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</si>
  <si>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</si>
  <si>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</si>
  <si>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</si>
  <si>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</si>
  <si>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</si>
  <si>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</si>
  <si>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</si>
  <si>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</si>
  <si>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</si>
  <si>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</si>
  <si>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</si>
  <si>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</si>
  <si>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</si>
  <si>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</si>
  <si>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</si>
  <si>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</si>
  <si>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</si>
  <si>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</si>
  <si>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</si>
  <si>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</si>
  <si>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</si>
  <si>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</si>
  <si>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</si>
  <si>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</si>
  <si>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</si>
  <si>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</si>
  <si>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</si>
  <si>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</si>
  <si>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</si>
  <si>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</si>
  <si>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</si>
  <si>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</si>
  <si>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</si>
  <si>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</si>
  <si>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</si>
  <si>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</si>
  <si>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</si>
  <si>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</si>
  <si>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</si>
  <si>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</si>
  <si>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</si>
  <si>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</si>
  <si>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</si>
  <si>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</si>
  <si>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</si>
  <si>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</si>
  <si>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</si>
  <si>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</si>
  <si>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</si>
  <si>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</si>
  <si>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</si>
  <si>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</si>
  <si>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</si>
  <si>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</si>
  <si>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</si>
  <si>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</si>
  <si>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</si>
  <si>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</si>
  <si>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</si>
  <si>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</si>
  <si>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</si>
  <si>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</si>
  <si>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</si>
  <si>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</si>
  <si>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</si>
  <si>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</si>
  <si>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</si>
  <si>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</si>
  <si>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</si>
  <si>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</si>
  <si>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</si>
  <si>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</si>
  <si>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</si>
  <si>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</si>
  <si>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</si>
  <si>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</si>
  <si>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</si>
  <si>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</si>
  <si>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</si>
  <si>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</si>
  <si>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</si>
  <si>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</si>
  <si>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</si>
  <si>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</si>
  <si>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</si>
  <si>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</si>
  <si>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</si>
  <si>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</si>
  <si>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</si>
  <si>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</si>
  <si>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</si>
  <si>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</si>
  <si>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</si>
  <si>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</si>
  <si>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</si>
  <si>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</si>
  <si>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</si>
  <si>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</si>
  <si>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</si>
  <si>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</si>
  <si>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</si>
  <si>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</si>
  <si>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</si>
  <si>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</si>
  <si>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</si>
  <si>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</si>
  <si>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</si>
  <si>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</si>
  <si>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</si>
  <si>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</si>
  <si>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</si>
  <si>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</si>
  <si>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</si>
  <si>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</si>
  <si>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</si>
  <si>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</si>
  <si>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</si>
  <si>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</si>
  <si>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</si>
  <si>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</si>
  <si>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</si>
  <si>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</si>
  <si>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</si>
  <si>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</si>
  <si>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</si>
  <si>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</si>
  <si>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</si>
  <si>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</si>
  <si>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</si>
  <si>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</si>
  <si>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</si>
  <si>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</si>
  <si>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</si>
  <si>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</si>
  <si>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</si>
  <si>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</si>
  <si>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</si>
  <si>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</si>
  <si>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</si>
  <si>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</si>
  <si>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</si>
  <si>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</si>
  <si>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</si>
  <si>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</si>
  <si>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</si>
  <si>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</si>
  <si>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</si>
  <si>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</si>
  <si>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</si>
  <si>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</si>
  <si>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</si>
  <si>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</si>
  <si>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</si>
  <si>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</si>
  <si>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</si>
  <si>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</si>
  <si>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</si>
  <si>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</si>
  <si>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</si>
  <si>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</si>
  <si>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</si>
  <si>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</si>
  <si>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</si>
  <si>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</si>
  <si>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</si>
  <si>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</si>
  <si>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</si>
  <si>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</si>
  <si>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</si>
  <si>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</si>
  <si>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</si>
  <si>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</si>
  <si>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</si>
  <si>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</si>
  <si>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</si>
  <si>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</si>
  <si>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</si>
  <si>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</si>
  <si>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</si>
  <si>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</si>
  <si>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</si>
  <si>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</si>
  <si>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</si>
  <si>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</si>
  <si>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</si>
  <si>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</si>
  <si>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</si>
  <si>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</si>
  <si>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</si>
  <si>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</si>
  <si>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</si>
  <si>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</si>
  <si>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</si>
  <si>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</si>
  <si>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</si>
  <si>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</si>
  <si>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</si>
  <si>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</si>
  <si>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</si>
  <si>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</si>
  <si>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</si>
  <si>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</si>
  <si>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</si>
  <si>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</si>
  <si>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</si>
  <si>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</si>
  <si>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</si>
  <si>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</si>
  <si>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</si>
  <si>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</si>
  <si>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</si>
  <si>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</si>
  <si>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</si>
  <si>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</si>
  <si>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</si>
  <si>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</si>
  <si>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</si>
  <si>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</si>
  <si>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</si>
  <si>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</si>
  <si>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</si>
  <si>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</si>
  <si>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</si>
  <si>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</si>
  <si>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</si>
  <si>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</si>
  <si>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</si>
  <si>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</si>
  <si>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</si>
  <si>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</si>
  <si>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</si>
  <si>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</si>
  <si>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</si>
  <si>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</si>
  <si>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</si>
  <si>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</si>
  <si>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</si>
  <si>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</si>
  <si>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</si>
  <si>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</si>
  <si>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</si>
  <si>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</si>
  <si>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</si>
  <si>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</si>
  <si>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</si>
  <si>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</si>
  <si>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</si>
  <si>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</si>
  <si>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</si>
  <si>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</si>
  <si>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</si>
  <si>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</si>
  <si>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</si>
  <si>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</si>
  <si>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</si>
  <si>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</si>
  <si>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</si>
  <si>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</si>
  <si>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</si>
  <si>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</si>
  <si>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</si>
  <si>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</si>
  <si>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</si>
  <si>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</si>
  <si>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</si>
  <si>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</si>
  <si>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</si>
  <si>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</si>
  <si>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</si>
  <si>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</si>
  <si>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</si>
  <si>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</si>
  <si>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</si>
  <si>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</si>
  <si>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</si>
  <si>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</si>
  <si>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</si>
  <si>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</si>
  <si>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</si>
  <si>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</si>
  <si>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</si>
  <si>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</si>
  <si>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</si>
  <si>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</si>
  <si>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</si>
  <si>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</si>
  <si>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</si>
  <si>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</si>
  <si>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</si>
  <si>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</si>
  <si>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</si>
  <si>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</si>
  <si>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</si>
  <si>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</si>
  <si>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</si>
  <si>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</si>
  <si>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</si>
  <si>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</si>
  <si>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</si>
  <si>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</si>
  <si>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</si>
  <si>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</si>
  <si>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</si>
  <si>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</si>
  <si>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</si>
  <si>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</si>
  <si>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</si>
  <si>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</si>
  <si>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</si>
  <si>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</si>
  <si>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</si>
  <si>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</si>
  <si>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</si>
  <si>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</si>
  <si>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</si>
  <si>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</si>
  <si>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</si>
  <si>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</si>
  <si>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</si>
  <si>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</si>
  <si>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</si>
  <si>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</si>
  <si>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</si>
  <si>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</si>
  <si>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</si>
  <si>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</si>
  <si>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</si>
  <si>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</si>
  <si>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</si>
  <si>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</si>
  <si>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</si>
  <si>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</si>
  <si>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</si>
  <si>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</si>
  <si>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</si>
  <si>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</si>
  <si>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</si>
  <si>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</si>
  <si>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</si>
  <si>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</si>
  <si>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</si>
  <si>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</si>
  <si>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</si>
  <si>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</si>
  <si>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</si>
  <si>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</si>
  <si>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</si>
  <si>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</si>
  <si>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</si>
  <si>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</si>
  <si>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</si>
  <si>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</si>
  <si>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</si>
  <si>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</si>
  <si>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</si>
  <si>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</si>
  <si>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</si>
  <si>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</si>
  <si>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</si>
  <si>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</si>
  <si>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</si>
  <si>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</si>
  <si>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</si>
  <si>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</si>
  <si>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</si>
  <si>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</si>
  <si>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</si>
  <si>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</si>
  <si>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</si>
  <si>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</si>
  <si>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</si>
  <si>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</si>
  <si>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</si>
  <si>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</si>
  <si>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</si>
  <si>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</si>
  <si>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</si>
  <si>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</si>
  <si>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</si>
  <si>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</si>
  <si>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</si>
  <si>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</si>
  <si>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</si>
  <si>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</si>
  <si>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</si>
  <si>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</si>
  <si>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</si>
  <si>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</si>
  <si>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</si>
  <si>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</si>
  <si>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</si>
  <si>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</si>
  <si>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</si>
  <si>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</si>
  <si>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</si>
  <si>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</si>
  <si>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</si>
  <si>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</si>
  <si>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</si>
  <si>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</si>
  <si>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</si>
  <si>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</si>
  <si>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</si>
  <si>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</si>
  <si>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</si>
  <si>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</si>
  <si>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</si>
  <si>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</si>
  <si>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</si>
  <si>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</si>
  <si>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</si>
  <si>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</si>
  <si>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</si>
  <si>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</si>
  <si>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</si>
  <si>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</si>
  <si>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</si>
  <si>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</si>
  <si>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</si>
  <si>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</si>
  <si>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</si>
  <si>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</si>
  <si>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</si>
  <si>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</si>
  <si>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</si>
  <si>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</si>
  <si>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</si>
  <si>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</si>
  <si>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</si>
  <si>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</si>
  <si>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</si>
  <si>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</si>
  <si>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</si>
  <si>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</si>
  <si>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</si>
  <si>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</si>
  <si>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</si>
  <si>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</si>
  <si>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</si>
  <si>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</si>
  <si>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</si>
  <si>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</si>
  <si>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</si>
  <si>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</si>
  <si>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</si>
  <si>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</si>
  <si>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</si>
  <si>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</si>
  <si>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</si>
  <si>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</si>
  <si>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</si>
  <si>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</si>
  <si>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</si>
  <si>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</si>
  <si>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</si>
  <si>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</si>
  <si>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</si>
  <si>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</si>
  <si>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</si>
  <si>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</si>
  <si>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</si>
  <si>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</si>
  <si>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</si>
  <si>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</si>
  <si>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</si>
  <si>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</si>
  <si>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</si>
  <si>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</si>
  <si>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</si>
  <si>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</si>
  <si>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</si>
  <si>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</si>
  <si>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</si>
  <si>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</si>
  <si>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</si>
  <si>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</si>
  <si>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</si>
  <si>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</si>
  <si>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</si>
  <si>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</si>
  <si>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</si>
  <si>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</si>
  <si>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</si>
  <si>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</si>
  <si>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</si>
  <si>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</si>
  <si>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</si>
  <si>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</si>
  <si>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</si>
  <si>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</si>
  <si>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</si>
  <si>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</si>
  <si>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</si>
  <si>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</si>
  <si>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</si>
  <si>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</si>
  <si>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</si>
  <si>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</si>
  <si>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</si>
  <si>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</si>
  <si>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</si>
  <si>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</si>
  <si>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</si>
  <si>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</si>
  <si>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</si>
  <si>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</si>
  <si>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</si>
  <si>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</si>
  <si>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</si>
  <si>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</si>
  <si>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</si>
  <si>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</si>
  <si>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</si>
  <si>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</si>
  <si>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</si>
  <si>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</si>
  <si>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</si>
  <si>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</si>
  <si>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</si>
  <si>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</si>
  <si>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</si>
  <si>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</si>
  <si>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</si>
  <si>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</si>
  <si>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</si>
  <si>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</si>
  <si>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</si>
  <si>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</si>
  <si>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</si>
  <si>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</si>
  <si>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</si>
  <si>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</si>
  <si>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</si>
  <si>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</si>
  <si>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</si>
  <si>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</si>
  <si>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</si>
  <si>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</si>
  <si>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</si>
  <si>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</si>
  <si>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</si>
  <si>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</si>
  <si>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</si>
  <si>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</si>
  <si>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</si>
  <si>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</si>
  <si>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</si>
  <si>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</si>
  <si>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</si>
  <si>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</si>
  <si>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</si>
  <si>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</si>
  <si>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</si>
  <si>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</si>
  <si>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</si>
  <si>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</si>
  <si>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</si>
  <si>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</si>
  <si>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</si>
  <si>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</si>
  <si>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</si>
  <si>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</si>
  <si>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</si>
  <si>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</si>
  <si>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</si>
  <si>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</si>
  <si>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</si>
  <si>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</si>
  <si>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</si>
  <si>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</si>
  <si>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</si>
  <si>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</si>
  <si>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</si>
  <si>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</si>
  <si>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</si>
  <si>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</si>
  <si>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</si>
  <si>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</si>
  <si>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</si>
  <si>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</si>
  <si>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</si>
  <si>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</si>
  <si>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</si>
  <si>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</si>
  <si>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</si>
  <si>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</si>
  <si>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</si>
  <si>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</si>
  <si>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</si>
  <si>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</si>
  <si>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</si>
  <si>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</si>
  <si>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</si>
  <si>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</si>
  <si>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</si>
  <si>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</si>
  <si>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</si>
  <si>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</si>
  <si>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</si>
  <si>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</si>
  <si>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</si>
  <si>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</si>
  <si>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</si>
  <si>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</si>
  <si>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</si>
  <si>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</si>
  <si>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</si>
  <si>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</si>
  <si>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</si>
  <si>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</si>
  <si>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</si>
  <si>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</si>
  <si>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</si>
  <si>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</si>
  <si>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</si>
  <si>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</si>
  <si>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</si>
  <si>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</si>
  <si>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</si>
  <si>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</si>
  <si>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</si>
  <si>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</si>
  <si>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</si>
  <si>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</si>
  <si>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</si>
  <si>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</si>
  <si>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</si>
  <si>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</si>
  <si>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</si>
  <si>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</si>
  <si>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</si>
  <si>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</si>
  <si>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</si>
  <si>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</si>
  <si>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</si>
  <si>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</si>
  <si>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</si>
  <si>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</si>
  <si>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</si>
  <si>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</si>
  <si>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</si>
  <si>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</si>
  <si>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</si>
  <si>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</si>
  <si>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</si>
  <si>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</si>
  <si>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</si>
  <si>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</si>
  <si>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</si>
  <si>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</si>
  <si>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</si>
  <si>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</si>
  <si>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</si>
  <si>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</si>
  <si>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</si>
  <si>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</si>
  <si>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</si>
  <si>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</si>
  <si>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</si>
  <si>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</si>
  <si>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</si>
  <si>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</si>
  <si>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</si>
  <si>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</si>
  <si>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</si>
  <si>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</si>
  <si>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</si>
  <si>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</si>
  <si>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</si>
  <si>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</si>
  <si>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</si>
  <si>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</si>
  <si>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</si>
  <si>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</si>
  <si>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</si>
  <si>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</si>
  <si>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</si>
  <si>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</si>
  <si>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</si>
  <si>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</si>
  <si>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</si>
  <si>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</si>
  <si>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</si>
  <si>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</si>
  <si>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</si>
  <si>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</si>
  <si>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</si>
  <si>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</si>
  <si>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</si>
  <si>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</si>
  <si>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</si>
  <si>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</si>
  <si>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</si>
  <si>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</si>
  <si>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</si>
  <si>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</si>
  <si>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</si>
  <si>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</si>
  <si>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</si>
  <si>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</si>
  <si>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</si>
  <si>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</si>
  <si>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</si>
  <si>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</si>
  <si>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</si>
  <si>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</si>
  <si>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</si>
  <si>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</si>
  <si>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</si>
  <si>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</si>
  <si>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</si>
  <si>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</si>
  <si>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</si>
  <si>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</si>
  <si>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</si>
  <si>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</si>
  <si>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</si>
  <si>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</si>
  <si>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</si>
  <si>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</si>
  <si>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</si>
  <si>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</si>
  <si>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</si>
  <si>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</si>
  <si>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</si>
  <si>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</si>
  <si>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</si>
  <si>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</si>
  <si>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</si>
  <si>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</si>
  <si>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</si>
  <si>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</si>
  <si>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</si>
  <si>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</si>
  <si>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</si>
  <si>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</si>
  <si>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</si>
  <si>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</si>
  <si>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</si>
  <si>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</si>
  <si>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</si>
  <si>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</si>
  <si>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</si>
  <si>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</si>
  <si>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</si>
  <si>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</si>
  <si>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</si>
  <si>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</si>
  <si>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</si>
  <si>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</si>
  <si>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</si>
  <si>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</si>
  <si>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71047</t>
  </si>
  <si>
    <t>OPGLABBEEK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</si>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</sst>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97735.234197623577</c:v>
                </c:pt>
                <c:pt idx="1">
                  <c:v>39633.433126025244</c:v>
                </c:pt>
                <c:pt idx="2">
                  <c:v>803.029</c:v>
                </c:pt>
                <c:pt idx="3">
                  <c:v>2905.1370440751089</c:v>
                </c:pt>
                <c:pt idx="4">
                  <c:v>33854.789722686932</c:v>
                </c:pt>
                <c:pt idx="5">
                  <c:v>48653.55947940133</c:v>
                </c:pt>
                <c:pt idx="6">
                  <c:v>1263.4139756178017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97735.234197623577</c:v>
                </c:pt>
                <c:pt idx="1">
                  <c:v>39633.433126025244</c:v>
                </c:pt>
                <c:pt idx="2">
                  <c:v>803.029</c:v>
                </c:pt>
                <c:pt idx="3">
                  <c:v>2905.1370440751089</c:v>
                </c:pt>
                <c:pt idx="4">
                  <c:v>33854.789722686932</c:v>
                </c:pt>
                <c:pt idx="5">
                  <c:v>48653.55947940133</c:v>
                </c:pt>
                <c:pt idx="6">
                  <c:v>1263.4139756178017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19321.928431928594</c:v>
                </c:pt>
                <c:pt idx="1">
                  <c:v>7568.9357853552901</c:v>
                </c:pt>
                <c:pt idx="2">
                  <c:v>136.27060608257821</c:v>
                </c:pt>
                <c:pt idx="3">
                  <c:v>713.3394513048346</c:v>
                </c:pt>
                <c:pt idx="4">
                  <c:v>6253.4039997203954</c:v>
                </c:pt>
                <c:pt idx="5">
                  <c:v>12275.718918914066</c:v>
                </c:pt>
                <c:pt idx="6">
                  <c:v>322.96833947973789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60800"/>
      </c:barChart>
      <c:catAx>
        <c:axId val="182442624"/>
        <c:scaling>
          <c:orientation val="minMax"/>
        </c:scaling>
        <c:axPos val="b"/>
        <c:numFmt formatCode="General" sourceLinked="0"/>
        <c:tickLblPos val="nextTo"/>
        <c:crossAx val="182460800"/>
        <c:crosses val="autoZero"/>
        <c:auto val="1"/>
        <c:lblAlgn val="ctr"/>
        <c:lblOffset val="100"/>
      </c:catAx>
      <c:valAx>
        <c:axId val="182460800"/>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19321.928431928594</c:v>
                </c:pt>
                <c:pt idx="1">
                  <c:v>7568.9357853552901</c:v>
                </c:pt>
                <c:pt idx="2">
                  <c:v>136.27060608257821</c:v>
                </c:pt>
                <c:pt idx="3">
                  <c:v>713.3394513048346</c:v>
                </c:pt>
                <c:pt idx="4">
                  <c:v>6253.4039997203954</c:v>
                </c:pt>
                <c:pt idx="5">
                  <c:v>12275.718918914066</c:v>
                </c:pt>
                <c:pt idx="6">
                  <c:v>322.96833947973789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71047</v>
      </c>
      <c r="B6" s="398"/>
      <c r="C6" s="399"/>
    </row>
    <row r="7" spans="1:7" s="396" customFormat="1" ht="15.75" customHeight="1">
      <c r="A7" s="400" t="str">
        <f>txtMunicipality</f>
        <v>OPGLABBEEK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71047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3868</v>
      </c>
      <c r="C9" s="338">
        <v>4149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489</v>
      </c>
    </row>
    <row r="15" spans="1:6">
      <c r="A15" s="1212" t="s">
        <v>184</v>
      </c>
      <c r="B15" s="335">
        <v>4</v>
      </c>
    </row>
    <row r="16" spans="1:6">
      <c r="A16" s="1212" t="s">
        <v>6</v>
      </c>
      <c r="B16" s="335">
        <v>198</v>
      </c>
    </row>
    <row r="17" spans="1:6">
      <c r="A17" s="1212" t="s">
        <v>7</v>
      </c>
      <c r="B17" s="335">
        <v>22</v>
      </c>
    </row>
    <row r="18" spans="1:6">
      <c r="A18" s="1212" t="s">
        <v>8</v>
      </c>
      <c r="B18" s="335">
        <v>132</v>
      </c>
    </row>
    <row r="19" spans="1:6">
      <c r="A19" s="1212" t="s">
        <v>9</v>
      </c>
      <c r="B19" s="335">
        <v>112</v>
      </c>
    </row>
    <row r="20" spans="1:6">
      <c r="A20" s="1212" t="s">
        <v>10</v>
      </c>
      <c r="B20" s="335">
        <v>80</v>
      </c>
    </row>
    <row r="21" spans="1:6">
      <c r="A21" s="1212" t="s">
        <v>11</v>
      </c>
      <c r="B21" s="335">
        <v>256</v>
      </c>
    </row>
    <row r="22" spans="1:6">
      <c r="A22" s="1212" t="s">
        <v>12</v>
      </c>
      <c r="B22" s="335">
        <v>578</v>
      </c>
    </row>
    <row r="23" spans="1:6">
      <c r="A23" s="1212" t="s">
        <v>13</v>
      </c>
      <c r="B23" s="335">
        <v>11</v>
      </c>
    </row>
    <row r="24" spans="1:6">
      <c r="A24" s="1212" t="s">
        <v>14</v>
      </c>
      <c r="B24" s="335">
        <v>1</v>
      </c>
    </row>
    <row r="25" spans="1:6">
      <c r="A25" s="1212" t="s">
        <v>15</v>
      </c>
      <c r="B25" s="335">
        <v>97</v>
      </c>
    </row>
    <row r="26" spans="1:6">
      <c r="A26" s="1212" t="s">
        <v>16</v>
      </c>
      <c r="B26" s="335">
        <v>0</v>
      </c>
    </row>
    <row r="27" spans="1:6">
      <c r="A27" s="1212" t="s">
        <v>17</v>
      </c>
      <c r="B27" s="335">
        <v>0</v>
      </c>
    </row>
    <row r="28" spans="1:6" s="341" customFormat="1">
      <c r="A28" s="1213" t="s">
        <v>18</v>
      </c>
      <c r="B28" s="1213">
        <v>26325</v>
      </c>
    </row>
    <row r="29" spans="1:6">
      <c r="A29" s="1213" t="s">
        <v>836</v>
      </c>
      <c r="B29" s="1213">
        <v>132</v>
      </c>
      <c r="C29" s="341"/>
      <c r="D29" s="341"/>
      <c r="E29" s="341"/>
      <c r="F29" s="341"/>
    </row>
    <row r="30" spans="1:6">
      <c r="A30" s="1208" t="s">
        <v>837</v>
      </c>
      <c r="B30" s="1208">
        <v>20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3274</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1422</v>
      </c>
      <c r="D39" s="335">
        <v>27169421</v>
      </c>
      <c r="E39" s="335">
        <v>3854</v>
      </c>
      <c r="F39" s="335">
        <v>15521524</v>
      </c>
    </row>
    <row r="40" spans="1:6">
      <c r="A40" s="1212" t="s">
        <v>30</v>
      </c>
      <c r="B40" s="1212" t="s">
        <v>29</v>
      </c>
      <c r="C40" s="335">
        <v>0</v>
      </c>
      <c r="D40" s="335">
        <v>0</v>
      </c>
      <c r="E40" s="335">
        <v>0</v>
      </c>
      <c r="F40" s="335">
        <v>0</v>
      </c>
    </row>
    <row r="41" spans="1:6">
      <c r="A41" s="1212" t="s">
        <v>32</v>
      </c>
      <c r="B41" s="1212" t="s">
        <v>33</v>
      </c>
      <c r="C41" s="335">
        <v>49</v>
      </c>
      <c r="D41" s="335">
        <v>3912289</v>
      </c>
      <c r="E41" s="335">
        <v>98</v>
      </c>
      <c r="F41" s="335">
        <v>4364639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25</v>
      </c>
      <c r="D44" s="335">
        <v>3041830</v>
      </c>
      <c r="E44" s="335">
        <v>33</v>
      </c>
      <c r="F44" s="335">
        <v>2286547</v>
      </c>
    </row>
    <row r="45" spans="1:6">
      <c r="A45" s="1212" t="s">
        <v>32</v>
      </c>
      <c r="B45" s="1212" t="s">
        <v>37</v>
      </c>
      <c r="C45" s="335">
        <v>4</v>
      </c>
      <c r="D45" s="335">
        <v>3859328</v>
      </c>
      <c r="E45" s="335">
        <v>8</v>
      </c>
      <c r="F45" s="335">
        <v>6128220</v>
      </c>
    </row>
    <row r="46" spans="1:6">
      <c r="A46" s="1212" t="s">
        <v>32</v>
      </c>
      <c r="B46" s="1212" t="s">
        <v>38</v>
      </c>
      <c r="C46" s="335">
        <v>0</v>
      </c>
      <c r="D46" s="335">
        <v>0</v>
      </c>
      <c r="E46" s="335">
        <v>0</v>
      </c>
      <c r="F46" s="335">
        <v>0</v>
      </c>
    </row>
    <row r="47" spans="1:6">
      <c r="A47" s="1212" t="s">
        <v>32</v>
      </c>
      <c r="B47" s="1212" t="s">
        <v>39</v>
      </c>
      <c r="C47" s="335">
        <v>0</v>
      </c>
      <c r="D47" s="335">
        <v>0</v>
      </c>
      <c r="E47" s="335">
        <v>3</v>
      </c>
      <c r="F47" s="335">
        <v>606748</v>
      </c>
    </row>
    <row r="48" spans="1:6">
      <c r="A48" s="1212" t="s">
        <v>32</v>
      </c>
      <c r="B48" s="1212" t="s">
        <v>29</v>
      </c>
      <c r="C48" s="335">
        <v>1</v>
      </c>
      <c r="D48" s="335">
        <v>28088</v>
      </c>
      <c r="E48" s="335">
        <v>0</v>
      </c>
      <c r="F48" s="335">
        <v>0</v>
      </c>
    </row>
    <row r="49" spans="1:6">
      <c r="A49" s="1212" t="s">
        <v>32</v>
      </c>
      <c r="B49" s="1212" t="s">
        <v>40</v>
      </c>
      <c r="C49" s="335">
        <v>3</v>
      </c>
      <c r="D49" s="335">
        <v>121407</v>
      </c>
      <c r="E49" s="335">
        <v>3</v>
      </c>
      <c r="F49" s="335">
        <v>297214</v>
      </c>
    </row>
    <row r="50" spans="1:6">
      <c r="A50" s="1212" t="s">
        <v>32</v>
      </c>
      <c r="B50" s="1212" t="s">
        <v>41</v>
      </c>
      <c r="C50" s="335">
        <v>0</v>
      </c>
      <c r="D50" s="335">
        <v>0</v>
      </c>
      <c r="E50" s="335">
        <v>5</v>
      </c>
      <c r="F50" s="335">
        <v>105157</v>
      </c>
    </row>
    <row r="51" spans="1:6">
      <c r="A51" s="1212" t="s">
        <v>42</v>
      </c>
      <c r="B51" s="1212" t="s">
        <v>43</v>
      </c>
      <c r="C51" s="335">
        <v>4</v>
      </c>
      <c r="D51" s="335">
        <v>213431</v>
      </c>
      <c r="E51" s="335">
        <v>23</v>
      </c>
      <c r="F51" s="335">
        <v>588008</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42</v>
      </c>
      <c r="F54" s="335">
        <v>803029</v>
      </c>
    </row>
    <row r="55" spans="1:6">
      <c r="A55" s="1212" t="s">
        <v>46</v>
      </c>
      <c r="B55" s="1212" t="s">
        <v>29</v>
      </c>
      <c r="C55" s="335">
        <v>0</v>
      </c>
      <c r="D55" s="335">
        <v>0</v>
      </c>
      <c r="E55" s="335">
        <v>0</v>
      </c>
      <c r="F55" s="335">
        <v>0</v>
      </c>
    </row>
    <row r="56" spans="1:6">
      <c r="A56" s="1212" t="s">
        <v>48</v>
      </c>
      <c r="B56" s="1212" t="s">
        <v>29</v>
      </c>
      <c r="C56" s="335">
        <v>48</v>
      </c>
      <c r="D56" s="335">
        <v>3191832</v>
      </c>
      <c r="E56" s="335">
        <v>47</v>
      </c>
      <c r="F56" s="335">
        <v>299603</v>
      </c>
    </row>
    <row r="57" spans="1:6">
      <c r="A57" s="1212" t="s">
        <v>49</v>
      </c>
      <c r="B57" s="1212" t="s">
        <v>50</v>
      </c>
      <c r="C57" s="335">
        <v>7</v>
      </c>
      <c r="D57" s="335">
        <v>864573</v>
      </c>
      <c r="E57" s="335">
        <v>38</v>
      </c>
      <c r="F57" s="335">
        <v>669825</v>
      </c>
    </row>
    <row r="58" spans="1:6">
      <c r="A58" s="1212" t="s">
        <v>49</v>
      </c>
      <c r="B58" s="1212" t="s">
        <v>51</v>
      </c>
      <c r="C58" s="335">
        <v>10</v>
      </c>
      <c r="D58" s="335">
        <v>543267</v>
      </c>
      <c r="E58" s="335">
        <v>14</v>
      </c>
      <c r="F58" s="335">
        <v>401197</v>
      </c>
    </row>
    <row r="59" spans="1:6">
      <c r="A59" s="1212" t="s">
        <v>49</v>
      </c>
      <c r="B59" s="1212" t="s">
        <v>52</v>
      </c>
      <c r="C59" s="335">
        <v>60</v>
      </c>
      <c r="D59" s="335">
        <v>11109639</v>
      </c>
      <c r="E59" s="335">
        <v>118</v>
      </c>
      <c r="F59" s="335">
        <v>10268191</v>
      </c>
    </row>
    <row r="60" spans="1:6">
      <c r="A60" s="1212" t="s">
        <v>49</v>
      </c>
      <c r="B60" s="1212" t="s">
        <v>53</v>
      </c>
      <c r="C60" s="335">
        <v>12</v>
      </c>
      <c r="D60" s="335">
        <v>511795</v>
      </c>
      <c r="E60" s="335">
        <v>22</v>
      </c>
      <c r="F60" s="335">
        <v>1019774</v>
      </c>
    </row>
    <row r="61" spans="1:6">
      <c r="A61" s="1212" t="s">
        <v>49</v>
      </c>
      <c r="B61" s="1212" t="s">
        <v>54</v>
      </c>
      <c r="C61" s="335">
        <v>39</v>
      </c>
      <c r="D61" s="335">
        <v>8395753</v>
      </c>
      <c r="E61" s="335">
        <v>160</v>
      </c>
      <c r="F61" s="335">
        <v>4150588</v>
      </c>
    </row>
    <row r="62" spans="1:6">
      <c r="A62" s="1212" t="s">
        <v>49</v>
      </c>
      <c r="B62" s="1212" t="s">
        <v>55</v>
      </c>
      <c r="C62" s="335">
        <v>0</v>
      </c>
      <c r="D62" s="335">
        <v>0</v>
      </c>
      <c r="E62" s="335">
        <v>4</v>
      </c>
      <c r="F62" s="335">
        <v>68620</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1060334</v>
      </c>
      <c r="E68" s="335">
        <v>9</v>
      </c>
      <c r="F68" s="335">
        <v>613211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30338451</v>
      </c>
      <c r="E73" s="335">
        <v>31446840.141410761</v>
      </c>
    </row>
    <row r="74" spans="1:6">
      <c r="A74" s="1212" t="s">
        <v>64</v>
      </c>
      <c r="B74" s="1212" t="s">
        <v>727</v>
      </c>
      <c r="C74" s="1212" t="s">
        <v>728</v>
      </c>
      <c r="D74" s="335">
        <v>2331335.5468514152</v>
      </c>
      <c r="E74" s="335">
        <v>2461746.0896361261</v>
      </c>
    </row>
    <row r="75" spans="1:6">
      <c r="A75" s="1212" t="s">
        <v>65</v>
      </c>
      <c r="B75" s="1212" t="s">
        <v>725</v>
      </c>
      <c r="C75" s="1212" t="s">
        <v>729</v>
      </c>
      <c r="D75" s="335">
        <v>24662929</v>
      </c>
      <c r="E75" s="335">
        <v>25468830.454037886</v>
      </c>
    </row>
    <row r="76" spans="1:6">
      <c r="A76" s="1212" t="s">
        <v>65</v>
      </c>
      <c r="B76" s="1212" t="s">
        <v>727</v>
      </c>
      <c r="C76" s="1212" t="s">
        <v>730</v>
      </c>
      <c r="D76" s="335">
        <v>552787.54685141542</v>
      </c>
      <c r="E76" s="335">
        <v>589163.9138334482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333778.90629716922</v>
      </c>
      <c r="C83" s="335">
        <v>320473.21724258107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3920.9748006598879</v>
      </c>
    </row>
    <row r="92" spans="1:6">
      <c r="A92" s="1208" t="s">
        <v>69</v>
      </c>
      <c r="B92" s="338">
        <v>7965.6539540679914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217</v>
      </c>
    </row>
    <row r="98" spans="1:6">
      <c r="A98" s="1212" t="s">
        <v>72</v>
      </c>
      <c r="B98" s="335">
        <v>5</v>
      </c>
    </row>
    <row r="99" spans="1:6">
      <c r="A99" s="1212" t="s">
        <v>73</v>
      </c>
      <c r="B99" s="335">
        <v>11</v>
      </c>
    </row>
    <row r="100" spans="1:6">
      <c r="A100" s="1212" t="s">
        <v>74</v>
      </c>
      <c r="B100" s="335">
        <v>176</v>
      </c>
    </row>
    <row r="101" spans="1:6">
      <c r="A101" s="1212" t="s">
        <v>75</v>
      </c>
      <c r="B101" s="335">
        <v>42</v>
      </c>
    </row>
    <row r="102" spans="1:6">
      <c r="A102" s="1212" t="s">
        <v>76</v>
      </c>
      <c r="B102" s="335">
        <v>26</v>
      </c>
    </row>
    <row r="103" spans="1:6">
      <c r="A103" s="1212" t="s">
        <v>77</v>
      </c>
      <c r="B103" s="335">
        <v>39</v>
      </c>
    </row>
    <row r="104" spans="1:6">
      <c r="A104" s="1212" t="s">
        <v>78</v>
      </c>
      <c r="B104" s="335">
        <v>2697</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v>
      </c>
      <c r="C123" s="335">
        <v>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100</v>
      </c>
    </row>
    <row r="130" spans="1:6">
      <c r="A130" s="1212" t="s">
        <v>295</v>
      </c>
      <c r="B130" s="335">
        <v>1</v>
      </c>
    </row>
    <row r="131" spans="1:6">
      <c r="A131" s="1212" t="s">
        <v>296</v>
      </c>
      <c r="B131" s="335">
        <v>0</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51203.259093042987</v>
      </c>
      <c r="C3" s="43" t="s">
        <v>170</v>
      </c>
      <c r="D3" s="43"/>
      <c r="E3" s="156"/>
      <c r="F3" s="43"/>
      <c r="G3" s="43"/>
      <c r="H3" s="43"/>
      <c r="I3" s="43"/>
      <c r="J3" s="43"/>
      <c r="K3" s="96"/>
    </row>
    <row r="4" spans="1:11">
      <c r="A4" s="366" t="s">
        <v>171</v>
      </c>
      <c r="B4" s="49">
        <f>IF(ISERROR('SEAP template'!B69),0,'SEAP template'!B69)</f>
        <v>11886.628754727879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0.16969574708083796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803.029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803.029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0.16969574708083796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136.27060608257821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15521.523999999999</v>
      </c>
      <c r="C5" s="17">
        <f>IF(ISERROR('Eigen informatie GS &amp; warmtenet'!B57),0,'Eigen informatie GS &amp; warmtenet'!B57)</f>
        <v>0</v>
      </c>
      <c r="D5" s="30">
        <f>(SUM(HH_hh_gas_kWh,HH_rest_gas_kWh)/1000)*0.902</f>
        <v>24506.817741999999</v>
      </c>
      <c r="E5" s="17">
        <f>B46*B57</f>
        <v>816.26470068488743</v>
      </c>
      <c r="F5" s="17">
        <f>B51*B62</f>
        <v>40775.092890984459</v>
      </c>
      <c r="G5" s="18"/>
      <c r="H5" s="17"/>
      <c r="I5" s="17"/>
      <c r="J5" s="17">
        <f>B50*B61+C50*C61</f>
        <v>0</v>
      </c>
      <c r="K5" s="17"/>
      <c r="L5" s="17"/>
      <c r="M5" s="17"/>
      <c r="N5" s="17">
        <f>B48*B59+C48*C59</f>
        <v>11684.083396627682</v>
      </c>
      <c r="O5" s="17">
        <f>B69*B70*B71</f>
        <v>167.27666666666667</v>
      </c>
      <c r="P5" s="17">
        <f>B77*B78*B79/1000-B77*B78*B79/1000/B80</f>
        <v>343.2</v>
      </c>
    </row>
    <row r="6" spans="1:16">
      <c r="A6" s="16" t="s">
        <v>634</v>
      </c>
      <c r="B6" s="831">
        <f>kWh_PV_kleiner_dan_10kW</f>
        <v>3920.9748006598879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19442.498800659887</v>
      </c>
      <c r="C8" s="21">
        <f>C5</f>
        <v>0</v>
      </c>
      <c r="D8" s="21">
        <f>D5</f>
        <v>24506.817741999999</v>
      </c>
      <c r="E8" s="21">
        <f>E5</f>
        <v>816.26470068488743</v>
      </c>
      <c r="F8" s="21">
        <f>F5</f>
        <v>40775.092890984459</v>
      </c>
      <c r="G8" s="21"/>
      <c r="H8" s="21"/>
      <c r="I8" s="21"/>
      <c r="J8" s="21">
        <f>J5</f>
        <v>0</v>
      </c>
      <c r="K8" s="21"/>
      <c r="L8" s="21">
        <f>L5</f>
        <v>0</v>
      </c>
      <c r="M8" s="21">
        <f>M5</f>
        <v>0</v>
      </c>
      <c r="N8" s="21">
        <f>N5</f>
        <v>11684.083396627682</v>
      </c>
      <c r="O8" s="21">
        <f>O5</f>
        <v>167.27666666666667</v>
      </c>
      <c r="P8" s="21">
        <f>P5</f>
        <v>343.2</v>
      </c>
    </row>
    <row r="9" spans="1:16">
      <c r="B9" s="19"/>
      <c r="C9" s="19"/>
      <c r="D9" s="261"/>
      <c r="E9" s="19"/>
      <c r="F9" s="19"/>
      <c r="G9" s="19"/>
      <c r="H9" s="19"/>
      <c r="I9" s="19"/>
      <c r="J9" s="19"/>
      <c r="K9" s="19"/>
      <c r="L9" s="19"/>
      <c r="M9" s="19"/>
      <c r="N9" s="19"/>
      <c r="O9" s="19"/>
      <c r="P9" s="19"/>
    </row>
    <row r="10" spans="1:16">
      <c r="A10" s="24" t="s">
        <v>214</v>
      </c>
      <c r="B10" s="25">
        <f ca="1">'EF ele_warmte'!B12</f>
        <v>0.16969574708083796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3299.3093590962753</v>
      </c>
      <c r="C12" s="23">
        <f ca="1">C10*C8</f>
        <v>0</v>
      </c>
      <c r="D12" s="23">
        <f>D8*D10</f>
        <v>4950.3771838840003</v>
      </c>
      <c r="E12" s="23">
        <f>E10*E8</f>
        <v>185.29208705546947</v>
      </c>
      <c r="F12" s="23">
        <f>F10*F8</f>
        <v>10886.949801892852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217</v>
      </c>
      <c r="C18" s="168" t="s">
        <v>111</v>
      </c>
      <c r="D18" s="230"/>
      <c r="E18" s="15"/>
    </row>
    <row r="19" spans="1:7">
      <c r="A19" s="173" t="s">
        <v>72</v>
      </c>
      <c r="B19" s="37">
        <f>aantalw2001_ander</f>
        <v>5</v>
      </c>
      <c r="C19" s="168" t="s">
        <v>111</v>
      </c>
      <c r="D19" s="231"/>
      <c r="E19" s="15"/>
    </row>
    <row r="20" spans="1:7">
      <c r="A20" s="173" t="s">
        <v>73</v>
      </c>
      <c r="B20" s="37">
        <f>aantalw2001_propaan</f>
        <v>11</v>
      </c>
      <c r="C20" s="169">
        <f>IF(ISERROR(B20/SUM($B$20,$B$21,$B$22)*100),0,B20/SUM($B$20,$B$21,$B$22)*100)</f>
        <v>4.8034934497816595</v>
      </c>
      <c r="D20" s="231"/>
      <c r="E20" s="15"/>
    </row>
    <row r="21" spans="1:7">
      <c r="A21" s="173" t="s">
        <v>74</v>
      </c>
      <c r="B21" s="37">
        <f>aantalw2001_elektriciteit</f>
        <v>176</v>
      </c>
      <c r="C21" s="169">
        <f>IF(ISERROR(B21/SUM($B$20,$B$21,$B$22)*100),0,B21/SUM($B$20,$B$21,$B$22)*100)</f>
        <v>76.855895196506552</v>
      </c>
      <c r="D21" s="231"/>
      <c r="E21" s="15"/>
    </row>
    <row r="22" spans="1:7">
      <c r="A22" s="173" t="s">
        <v>75</v>
      </c>
      <c r="B22" s="37">
        <f>aantalw2001_hout</f>
        <v>42</v>
      </c>
      <c r="C22" s="169">
        <f>IF(ISERROR(B22/SUM($B$20,$B$21,$B$22)*100),0,B22/SUM($B$20,$B$21,$B$22)*100)</f>
        <v>18.340611353711793</v>
      </c>
      <c r="D22" s="231"/>
      <c r="E22" s="15"/>
    </row>
    <row r="23" spans="1:7">
      <c r="A23" s="173" t="s">
        <v>76</v>
      </c>
      <c r="B23" s="37">
        <f>aantalw2001_niet_gespec</f>
        <v>26</v>
      </c>
      <c r="C23" s="168" t="s">
        <v>111</v>
      </c>
      <c r="D23" s="230"/>
      <c r="E23" s="15"/>
    </row>
    <row r="24" spans="1:7">
      <c r="A24" s="173" t="s">
        <v>77</v>
      </c>
      <c r="B24" s="37">
        <f>aantalw2001_steenkool</f>
        <v>39</v>
      </c>
      <c r="C24" s="168" t="s">
        <v>111</v>
      </c>
      <c r="D24" s="231"/>
      <c r="E24" s="15"/>
    </row>
    <row r="25" spans="1:7">
      <c r="A25" s="173" t="s">
        <v>78</v>
      </c>
      <c r="B25" s="37">
        <f>aantalw2001_stookolie</f>
        <v>2697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3868</v>
      </c>
      <c r="C28" s="36"/>
      <c r="D28" s="230"/>
    </row>
    <row r="29" spans="1:7" s="15" customFormat="1">
      <c r="A29" s="232" t="s">
        <v>746</v>
      </c>
      <c r="B29" s="37">
        <f>SUM(HH_hh_gas_aantal,HH_rest_gas_aantal)</f>
        <v>1422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1422</v>
      </c>
      <c r="C32" s="169">
        <f>IF(ISERROR(B32/SUM($B$32,$B$34,$B$35,$B$36,$B$38,$B$39)*100),0,B32/SUM($B$32,$B$34,$B$35,$B$36,$B$38,$B$39)*100)</f>
        <v>36.935064935064936</v>
      </c>
      <c r="D32" s="235"/>
      <c r="G32" s="15"/>
    </row>
    <row r="33" spans="1:7">
      <c r="A33" s="173" t="s">
        <v>72</v>
      </c>
      <c r="B33" s="34" t="s">
        <v>111</v>
      </c>
      <c r="C33" s="169"/>
      <c r="D33" s="235"/>
      <c r="G33" s="15"/>
    </row>
    <row r="34" spans="1:7">
      <c r="A34" s="173" t="s">
        <v>73</v>
      </c>
      <c r="B34" s="33">
        <f>IF((($B$28-$B$32-$B$39-$B$77-$B$38)*C20/100)&lt;0,0,($B$28-$B$32-$B$39-$B$77-$B$38)*C20/100)</f>
        <v>39.172489082969435</v>
      </c>
      <c r="C34" s="169">
        <f>IF(ISERROR(B34/SUM($B$32,$B$34,$B$35,$B$36,$B$38,$B$39)*100),0,B34/SUM($B$32,$B$34,$B$35,$B$36,$B$38,$B$39)*100)</f>
        <v>1.017467248908297</v>
      </c>
      <c r="D34" s="235"/>
      <c r="G34" s="15"/>
    </row>
    <row r="35" spans="1:7">
      <c r="A35" s="173" t="s">
        <v>74</v>
      </c>
      <c r="B35" s="33">
        <f>IF((($B$28-$B$32-$B$39-$B$77-$B$38)*C21/100)&lt;0,0,($B$28-$B$32-$B$39-$B$77-$B$38)*C21/100)</f>
        <v>626.75982532751095</v>
      </c>
      <c r="C35" s="169">
        <f>IF(ISERROR(B35/SUM($B$32,$B$34,$B$35,$B$36,$B$38,$B$39)*100),0,B35/SUM($B$32,$B$34,$B$35,$B$36,$B$38,$B$39)*100)</f>
        <v>16.279475982532752</v>
      </c>
      <c r="D35" s="235"/>
      <c r="G35" s="15"/>
    </row>
    <row r="36" spans="1:7">
      <c r="A36" s="173" t="s">
        <v>75</v>
      </c>
      <c r="B36" s="33">
        <f>IF((($B$28-$B$32-$B$39-$B$77-$B$38)*C22/100)&lt;0,0,($B$28-$B$32-$B$39-$B$77-$B$38)*C22/100)</f>
        <v>149.56768558951967</v>
      </c>
      <c r="C36" s="169">
        <f>IF(ISERROR(B36/SUM($B$32,$B$34,$B$35,$B$36,$B$38,$B$39)*100),0,B36/SUM($B$32,$B$34,$B$35,$B$36,$B$38,$B$39)*100)</f>
        <v>3.8848749503771347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1612.5</v>
      </c>
      <c r="C39" s="169">
        <f>IF(ISERROR(B39/SUM($B$32,$B$34,$B$35,$B$36,$B$38,$B$39)*100),0,B39/SUM($B$32,$B$34,$B$35,$B$36,$B$38,$B$39)*100)</f>
        <v>41.883116883116884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1422</v>
      </c>
      <c r="C44" s="34" t="s">
        <v>111</v>
      </c>
      <c r="D44" s="176"/>
    </row>
    <row r="45" spans="1:7">
      <c r="A45" s="173" t="s">
        <v>72</v>
      </c>
      <c r="B45" s="33" t="str">
        <f t="shared" si="0"/>
        <v>-</v>
      </c>
      <c r="C45" s="34" t="s">
        <v>111</v>
      </c>
      <c r="D45" s="176"/>
    </row>
    <row r="46" spans="1:7">
      <c r="A46" s="173" t="s">
        <v>73</v>
      </c>
      <c r="B46" s="33">
        <f t="shared" si="0"/>
        <v>39.172489082969435</v>
      </c>
      <c r="C46" s="34" t="s">
        <v>111</v>
      </c>
      <c r="D46" s="176"/>
    </row>
    <row r="47" spans="1:7">
      <c r="A47" s="173" t="s">
        <v>74</v>
      </c>
      <c r="B47" s="33">
        <f t="shared" si="0"/>
        <v>626.75982532751095</v>
      </c>
      <c r="C47" s="34" t="s">
        <v>111</v>
      </c>
      <c r="D47" s="176"/>
    </row>
    <row r="48" spans="1:7">
      <c r="A48" s="173" t="s">
        <v>75</v>
      </c>
      <c r="B48" s="33">
        <f t="shared" si="0"/>
        <v>149.56768558951967</v>
      </c>
      <c r="C48" s="33">
        <f>B48*10</f>
        <v>1495.6768558951967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1612.5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16578.195</v>
      </c>
      <c r="C5" s="17">
        <f>IF(ISERROR('Eigen informatie GS &amp; warmtenet'!B58),0,'Eigen informatie GS &amp; warmtenet'!B58)</f>
        <v>0</v>
      </c>
      <c r="D5" s="30">
        <f>SUM(D6:D12)</f>
        <v>19325.374354</v>
      </c>
      <c r="E5" s="17">
        <f>SUM(E6:E12)</f>
        <v>225.1421837333821</v>
      </c>
      <c r="F5" s="17">
        <f>SUM(F6:F12)</f>
        <v>2999.452076265914</v>
      </c>
      <c r="G5" s="18"/>
      <c r="H5" s="17"/>
      <c r="I5" s="17"/>
      <c r="J5" s="17">
        <f>SUM(J6:J12)</f>
        <v>0</v>
      </c>
      <c r="K5" s="17"/>
      <c r="L5" s="17"/>
      <c r="M5" s="17"/>
      <c r="N5" s="17">
        <f>SUM(N6:N12)</f>
        <v>503.70617869261633</v>
      </c>
      <c r="O5" s="17">
        <f>B38*B39*B40</f>
        <v>1.5633333333333335</v>
      </c>
      <c r="P5" s="17">
        <f>B46*B47*B48/1000-B46*B47*B48/1000/B49</f>
        <v>0</v>
      </c>
      <c r="R5" s="32"/>
    </row>
    <row r="6" spans="1:18">
      <c r="A6" s="32" t="s">
        <v>54</v>
      </c>
      <c r="B6" s="37">
        <f>B26</f>
        <v>4150.5879999999997</v>
      </c>
      <c r="C6" s="33"/>
      <c r="D6" s="37">
        <f>IF(ISERROR(TER_kantoor_gas_kWh/1000),0,TER_kantoor_gas_kWh/1000)*0.902</f>
        <v>7572.9692060000007</v>
      </c>
      <c r="E6" s="33">
        <f>$C$26*'E Balans VL '!I12/100/3.6*1000000</f>
        <v>16.125913110678706</v>
      </c>
      <c r="F6" s="33">
        <f>$C$26*('E Balans VL '!L12+'E Balans VL '!N12)/100/3.6*1000000</f>
        <v>631.26666746027354</v>
      </c>
      <c r="G6" s="34"/>
      <c r="H6" s="33"/>
      <c r="I6" s="33"/>
      <c r="J6" s="33">
        <f>$C$26*('E Balans VL '!D12+'E Balans VL '!E12)/100/3.6*1000000</f>
        <v>0</v>
      </c>
      <c r="K6" s="33"/>
      <c r="L6" s="33"/>
      <c r="M6" s="33"/>
      <c r="N6" s="33">
        <f>$C$26*'E Balans VL '!Y12/100/3.6*1000000</f>
        <v>2.28747121619719</v>
      </c>
      <c r="O6" s="33"/>
      <c r="P6" s="33"/>
      <c r="R6" s="32"/>
    </row>
    <row r="7" spans="1:18">
      <c r="A7" s="32" t="s">
        <v>53</v>
      </c>
      <c r="B7" s="37">
        <f t="shared" ref="B7:B12" si="0">B27</f>
        <v>1019.774</v>
      </c>
      <c r="C7" s="33"/>
      <c r="D7" s="37">
        <f>IF(ISERROR(TER_horeca_gas_kWh/1000),0,TER_horeca_gas_kWh/1000)*0.902</f>
        <v>461.63909000000001</v>
      </c>
      <c r="E7" s="33">
        <f>$C$27*'E Balans VL '!I9/100/3.6*1000000</f>
        <v>57.444142062395521</v>
      </c>
      <c r="F7" s="33">
        <f>$C$27*('E Balans VL '!L9+'E Balans VL '!N9)/100/3.6*1000000</f>
        <v>294.04176897694805</v>
      </c>
      <c r="G7" s="34"/>
      <c r="H7" s="33"/>
      <c r="I7" s="33"/>
      <c r="J7" s="33">
        <f>$C$27*('E Balans VL '!D9+'E Balans VL '!E9)/100/3.6*1000000</f>
        <v>0</v>
      </c>
      <c r="K7" s="33"/>
      <c r="L7" s="33"/>
      <c r="M7" s="33"/>
      <c r="N7" s="33">
        <f>$C$27*'E Balans VL '!Y9/100/3.6*1000000</f>
        <v>0.28155430215570637</v>
      </c>
      <c r="O7" s="33"/>
      <c r="P7" s="33"/>
      <c r="R7" s="32"/>
    </row>
    <row r="8" spans="1:18">
      <c r="A8" s="6" t="s">
        <v>52</v>
      </c>
      <c r="B8" s="37">
        <f t="shared" si="0"/>
        <v>10268.191000000001</v>
      </c>
      <c r="C8" s="33"/>
      <c r="D8" s="37">
        <f>IF(ISERROR(TER_handel_gas_kWh/1000),0,TER_handel_gas_kWh/1000)*0.902</f>
        <v>10020.894377999999</v>
      </c>
      <c r="E8" s="33">
        <f>$C$28*'E Balans VL '!I13/100/3.6*1000000</f>
        <v>147.99946881667793</v>
      </c>
      <c r="F8" s="33">
        <f>$C$28*('E Balans VL '!L13+'E Balans VL '!N13)/100/3.6*1000000</f>
        <v>1783.8239067321697</v>
      </c>
      <c r="G8" s="34"/>
      <c r="H8" s="33"/>
      <c r="I8" s="33"/>
      <c r="J8" s="33">
        <f>$C$28*('E Balans VL '!D13+'E Balans VL '!E13)/100/3.6*1000000</f>
        <v>0</v>
      </c>
      <c r="K8" s="33"/>
      <c r="L8" s="33"/>
      <c r="M8" s="33"/>
      <c r="N8" s="33">
        <f>$C$28*'E Balans VL '!Y13/100/3.6*1000000</f>
        <v>30.76464331456971</v>
      </c>
      <c r="O8" s="33"/>
      <c r="P8" s="33"/>
      <c r="R8" s="32"/>
    </row>
    <row r="9" spans="1:18">
      <c r="A9" s="32" t="s">
        <v>51</v>
      </c>
      <c r="B9" s="37">
        <f t="shared" si="0"/>
        <v>401.197</v>
      </c>
      <c r="C9" s="33"/>
      <c r="D9" s="37">
        <f>IF(ISERROR(TER_gezond_gas_kWh/1000),0,TER_gezond_gas_kWh/1000)*0.902</f>
        <v>490.02683400000006</v>
      </c>
      <c r="E9" s="33">
        <f>$C$29*'E Balans VL '!I10/100/3.6*1000000</f>
        <v>0.42858238244361885</v>
      </c>
      <c r="F9" s="33">
        <f>$C$29*('E Balans VL '!L10+'E Balans VL '!N10)/100/3.6*1000000</f>
        <v>65.447423534369037</v>
      </c>
      <c r="G9" s="34"/>
      <c r="H9" s="33"/>
      <c r="I9" s="33"/>
      <c r="J9" s="33">
        <f>$C$29*('E Balans VL '!D10+'E Balans VL '!E10)/100/3.6*1000000</f>
        <v>0</v>
      </c>
      <c r="K9" s="33"/>
      <c r="L9" s="33"/>
      <c r="M9" s="33"/>
      <c r="N9" s="33">
        <f>$C$29*'E Balans VL '!Y10/100/3.6*1000000</f>
        <v>4.1300941965587938</v>
      </c>
      <c r="O9" s="33"/>
      <c r="P9" s="33"/>
      <c r="R9" s="32"/>
    </row>
    <row r="10" spans="1:18">
      <c r="A10" s="32" t="s">
        <v>50</v>
      </c>
      <c r="B10" s="37">
        <f t="shared" si="0"/>
        <v>669.82500000000005</v>
      </c>
      <c r="C10" s="33"/>
      <c r="D10" s="37">
        <f>IF(ISERROR(TER_ander_gas_kWh/1000),0,TER_ander_gas_kWh/1000)*0.902</f>
        <v>779.84484599999996</v>
      </c>
      <c r="E10" s="33">
        <f>$C$30*'E Balans VL '!I14/100/3.6*1000000</f>
        <v>3.0804232870539874</v>
      </c>
      <c r="F10" s="33">
        <f>$C$30*('E Balans VL '!L14+'E Balans VL '!N14)/100/3.6*1000000</f>
        <v>200.76768067946483</v>
      </c>
      <c r="G10" s="34"/>
      <c r="H10" s="33"/>
      <c r="I10" s="33"/>
      <c r="J10" s="33">
        <f>$C$30*('E Balans VL '!D14+'E Balans VL '!E14)/100/3.6*1000000</f>
        <v>0</v>
      </c>
      <c r="K10" s="33"/>
      <c r="L10" s="33"/>
      <c r="M10" s="33"/>
      <c r="N10" s="33">
        <f>$C$30*'E Balans VL '!Y14/100/3.6*1000000</f>
        <v>466.24241566313492</v>
      </c>
      <c r="O10" s="33"/>
      <c r="P10" s="33"/>
      <c r="R10" s="32"/>
    </row>
    <row r="11" spans="1:18">
      <c r="A11" s="32" t="s">
        <v>55</v>
      </c>
      <c r="B11" s="37">
        <f t="shared" si="0"/>
        <v>68.62</v>
      </c>
      <c r="C11" s="33"/>
      <c r="D11" s="37">
        <f>IF(ISERROR(TER_onderwijs_gas_kWh/1000),0,TER_onderwijs_gas_kWh/1000)*0.902</f>
        <v>0</v>
      </c>
      <c r="E11" s="33">
        <f>$C$31*'E Balans VL '!I11/100/3.6*1000000</f>
        <v>6.3654074132361696E-2</v>
      </c>
      <c r="F11" s="33">
        <f>$C$31*('E Balans VL '!L11+'E Balans VL '!N11)/100/3.6*1000000</f>
        <v>24.104628882688758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16578.195</v>
      </c>
      <c r="C16" s="21">
        <f t="shared" ca="1" si="1"/>
        <v>0</v>
      </c>
      <c r="D16" s="21">
        <f t="shared" ca="1" si="1"/>
        <v>19325.374354</v>
      </c>
      <c r="E16" s="21">
        <f t="shared" si="1"/>
        <v>225.1421837333821</v>
      </c>
      <c r="F16" s="21">
        <f t="shared" ca="1" si="1"/>
        <v>2999.452076265914</v>
      </c>
      <c r="G16" s="21">
        <f t="shared" si="1"/>
        <v>0</v>
      </c>
      <c r="H16" s="21">
        <f t="shared" si="1"/>
        <v>0</v>
      </c>
      <c r="I16" s="21">
        <f t="shared" si="1"/>
        <v>0</v>
      </c>
      <c r="J16" s="21">
        <f t="shared" si="1"/>
        <v>0</v>
      </c>
      <c r="K16" s="21">
        <f t="shared" si="1"/>
        <v>0</v>
      </c>
      <c r="L16" s="21">
        <f t="shared" ca="1" si="1"/>
        <v>0</v>
      </c>
      <c r="M16" s="21">
        <f t="shared" si="1"/>
        <v>0</v>
      </c>
      <c r="N16" s="21">
        <f t="shared" ca="1" si="1"/>
        <v>503.70617869261633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0.16969574708083796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2813.2491857768123</v>
      </c>
      <c r="C20" s="23">
        <f t="shared" ref="C20:P20" ca="1" si="2">C16*C18</f>
        <v>0</v>
      </c>
      <c r="D20" s="23">
        <f t="shared" ca="1" si="2"/>
        <v>3903.7256195080004</v>
      </c>
      <c r="E20" s="23">
        <f t="shared" si="2"/>
        <v>51.10727570747774</v>
      </c>
      <c r="F20" s="23">
        <f t="shared" ca="1" si="2"/>
        <v>800.85370436299911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4150.5879999999997</v>
      </c>
      <c r="C26" s="39">
        <f>IF(ISERROR(B26*3.6/1000000/'E Balans VL '!Z12*100),0,B26*3.6/1000000/'E Balans VL '!Z12*100)</f>
        <v>8.8160545054027428E-2</v>
      </c>
      <c r="D26" s="239" t="s">
        <v>692</v>
      </c>
      <c r="F26" s="6"/>
    </row>
    <row r="27" spans="1:18">
      <c r="A27" s="233" t="s">
        <v>53</v>
      </c>
      <c r="B27" s="33">
        <f>IF(ISERROR(TER_horeca_ele_kWh/1000),0,TER_horeca_ele_kWh/1000)</f>
        <v>1019.774</v>
      </c>
      <c r="C27" s="39">
        <f>IF(ISERROR(B27*3.6/1000000/'E Balans VL '!Z9*100),0,B27*3.6/1000000/'E Balans VL '!Z9*100)</f>
        <v>7.9293639003504002E-2</v>
      </c>
      <c r="D27" s="239" t="s">
        <v>692</v>
      </c>
      <c r="F27" s="6"/>
    </row>
    <row r="28" spans="1:18">
      <c r="A28" s="173" t="s">
        <v>52</v>
      </c>
      <c r="B28" s="33">
        <f>IF(ISERROR(TER_handel_ele_kWh/1000),0,TER_handel_ele_kWh/1000)</f>
        <v>10268.191000000001</v>
      </c>
      <c r="C28" s="39">
        <f>IF(ISERROR(B28*3.6/1000000/'E Balans VL '!Z13*100),0,B28*3.6/1000000/'E Balans VL '!Z13*100)</f>
        <v>0.29378502896193787</v>
      </c>
      <c r="D28" s="239" t="s">
        <v>692</v>
      </c>
      <c r="F28" s="6"/>
    </row>
    <row r="29" spans="1:18">
      <c r="A29" s="233" t="s">
        <v>51</v>
      </c>
      <c r="B29" s="33">
        <f>IF(ISERROR(TER_gezond_ele_kWh/1000),0,TER_gezond_ele_kWh/1000)</f>
        <v>401.197</v>
      </c>
      <c r="C29" s="39">
        <f>IF(ISERROR(B29*3.6/1000000/'E Balans VL '!Z10*100),0,B29*3.6/1000000/'E Balans VL '!Z10*100)</f>
        <v>4.3739795700191549E-2</v>
      </c>
      <c r="D29" s="239" t="s">
        <v>692</v>
      </c>
      <c r="F29" s="6"/>
    </row>
    <row r="30" spans="1:18">
      <c r="A30" s="233" t="s">
        <v>50</v>
      </c>
      <c r="B30" s="33">
        <f>IF(ISERROR(TER_ander_ele_kWh/1000),0,TER_ander_ele_kWh/1000)</f>
        <v>669.82500000000005</v>
      </c>
      <c r="C30" s="39">
        <f>IF(ISERROR(B30*3.6/1000000/'E Balans VL '!Z14*100),0,B30*3.6/1000000/'E Balans VL '!Z14*100)</f>
        <v>4.9016274038007034E-2</v>
      </c>
      <c r="D30" s="239" t="s">
        <v>692</v>
      </c>
      <c r="F30" s="6"/>
    </row>
    <row r="31" spans="1:18">
      <c r="A31" s="233" t="s">
        <v>55</v>
      </c>
      <c r="B31" s="33">
        <f>IF(ISERROR(TER_onderwijs_ele_kWh/1000),0,TER_onderwijs_ele_kWh/1000)</f>
        <v>68.62</v>
      </c>
      <c r="C31" s="39">
        <f>IF(ISERROR(B31*3.6/1000000/'E Balans VL '!Z11*100),0,B31*3.6/1000000/'E Balans VL '!Z11*100)</f>
        <v>1.3782377955806897E-2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13788.525</v>
      </c>
      <c r="C5" s="17">
        <f>IF(ISERROR('Eigen informatie GS &amp; warmtenet'!B59),0,'Eigen informatie GS &amp; warmtenet'!B59)</f>
        <v>0</v>
      </c>
      <c r="D5" s="30">
        <f>SUM(D6:D15)</f>
        <v>9888.5736840000009</v>
      </c>
      <c r="E5" s="17">
        <f>SUM(E6:E15)</f>
        <v>1309.8087258141973</v>
      </c>
      <c r="F5" s="17">
        <f>SUM(F6:F15)</f>
        <v>6017.9757927402934</v>
      </c>
      <c r="G5" s="18"/>
      <c r="H5" s="17"/>
      <c r="I5" s="17"/>
      <c r="J5" s="17">
        <f>SUM(J6:J15)</f>
        <v>33.70606529125196</v>
      </c>
      <c r="K5" s="17"/>
      <c r="L5" s="17"/>
      <c r="M5" s="17"/>
      <c r="N5" s="17">
        <f>SUM(N6:N15)</f>
        <v>2816.2004548411887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2286.547</v>
      </c>
      <c r="C8" s="33"/>
      <c r="D8" s="37">
        <f>IF( ISERROR(IND_metaal_Gas_kWH/1000),0,IND_metaal_Gas_kWH/1000)*0.902</f>
        <v>2743.7306600000002</v>
      </c>
      <c r="E8" s="33">
        <f>C30*'E Balans VL '!I18/100/3.6*1000000</f>
        <v>65.678212484531542</v>
      </c>
      <c r="F8" s="33">
        <f>C30*'E Balans VL '!L18/100/3.6*1000000+C30*'E Balans VL '!N18/100/3.6*1000000</f>
        <v>586.45532888125365</v>
      </c>
      <c r="G8" s="34"/>
      <c r="H8" s="33"/>
      <c r="I8" s="33"/>
      <c r="J8" s="40">
        <f>C30*'E Balans VL '!D18/100/3.6*1000000+C30*'E Balans VL '!E18/100/3.6*1000000</f>
        <v>0</v>
      </c>
      <c r="K8" s="33"/>
      <c r="L8" s="33"/>
      <c r="M8" s="33"/>
      <c r="N8" s="33">
        <f>C30*'E Balans VL '!Y18/100/3.6*1000000</f>
        <v>62.084418553708289</v>
      </c>
      <c r="O8" s="33"/>
      <c r="P8" s="33"/>
      <c r="R8" s="32"/>
    </row>
    <row r="9" spans="1:18">
      <c r="A9" s="6" t="s">
        <v>33</v>
      </c>
      <c r="B9" s="37">
        <f t="shared" si="0"/>
        <v>4364.6390000000001</v>
      </c>
      <c r="C9" s="33"/>
      <c r="D9" s="37">
        <f>IF( ISERROR(IND_andere_gas_kWh/1000),0,IND_andere_gas_kWh/1000)*0.902</f>
        <v>3528.8846780000003</v>
      </c>
      <c r="E9" s="33">
        <f>C31*'E Balans VL '!I19/100/3.6*1000000</f>
        <v>1181.4004637443761</v>
      </c>
      <c r="F9" s="33">
        <f>C31*'E Balans VL '!L19/100/3.6*1000000+C31*'E Balans VL '!N19/100/3.6*1000000</f>
        <v>2907.3114492874442</v>
      </c>
      <c r="G9" s="34"/>
      <c r="H9" s="33"/>
      <c r="I9" s="33"/>
      <c r="J9" s="40">
        <f>C31*'E Balans VL '!D19/100/3.6*1000000+C31*'E Balans VL '!E19/100/3.6*1000000</f>
        <v>0</v>
      </c>
      <c r="K9" s="33"/>
      <c r="L9" s="33"/>
      <c r="M9" s="33"/>
      <c r="N9" s="33">
        <f>C31*'E Balans VL '!Y19/100/3.6*1000000</f>
        <v>1424.9821306391675</v>
      </c>
      <c r="O9" s="33"/>
      <c r="P9" s="33"/>
      <c r="R9" s="32"/>
    </row>
    <row r="10" spans="1:18">
      <c r="A10" s="6" t="s">
        <v>41</v>
      </c>
      <c r="B10" s="37">
        <f t="shared" si="0"/>
        <v>105.157</v>
      </c>
      <c r="C10" s="33"/>
      <c r="D10" s="37">
        <f>IF( ISERROR(IND_voed_gas_kWh/1000),0,IND_voed_gas_kWh/1000)*0.902</f>
        <v>0</v>
      </c>
      <c r="E10" s="33">
        <f>C32*'E Balans VL '!I20/100/3.6*1000000</f>
        <v>8.5768465119209498</v>
      </c>
      <c r="F10" s="33">
        <f>C32*'E Balans VL '!L20/100/3.6*1000000+C32*'E Balans VL '!N20/100/3.6*1000000</f>
        <v>156.79862767900659</v>
      </c>
      <c r="G10" s="34"/>
      <c r="H10" s="33"/>
      <c r="I10" s="33"/>
      <c r="J10" s="40">
        <f>C32*'E Balans VL '!D20/100/3.6*1000000+C32*'E Balans VL '!E20/100/3.6*1000000</f>
        <v>1.3910994665254502E-3</v>
      </c>
      <c r="K10" s="33"/>
      <c r="L10" s="33"/>
      <c r="M10" s="33"/>
      <c r="N10" s="33">
        <f>C32*'E Balans VL '!Y20/100/3.6*1000000</f>
        <v>30.891416009575021</v>
      </c>
      <c r="O10" s="33"/>
      <c r="P10" s="33"/>
      <c r="R10" s="32"/>
    </row>
    <row r="11" spans="1:18">
      <c r="A11" s="6" t="s">
        <v>40</v>
      </c>
      <c r="B11" s="37">
        <f t="shared" si="0"/>
        <v>297.214</v>
      </c>
      <c r="C11" s="33"/>
      <c r="D11" s="37">
        <f>IF( ISERROR(IND_textiel_gas_kWh/1000),0,IND_textiel_gas_kWh/1000)*0.902</f>
        <v>109.509114</v>
      </c>
      <c r="E11" s="33">
        <f>C33*'E Balans VL '!I21/100/3.6*1000000</f>
        <v>5.8913895712172683E-2</v>
      </c>
      <c r="F11" s="33">
        <f>C33*'E Balans VL '!L21/100/3.6*1000000+C33*'E Balans VL '!N21/100/3.6*1000000</f>
        <v>10.946750209835733</v>
      </c>
      <c r="G11" s="34"/>
      <c r="H11" s="33"/>
      <c r="I11" s="33"/>
      <c r="J11" s="40">
        <f>C33*'E Balans VL '!D21/100/3.6*1000000+C33*'E Balans VL '!E21/100/3.6*1000000</f>
        <v>0</v>
      </c>
      <c r="K11" s="33"/>
      <c r="L11" s="33"/>
      <c r="M11" s="33"/>
      <c r="N11" s="33">
        <f>C33*'E Balans VL '!Y21/100/3.6*1000000</f>
        <v>1.3819700707489861</v>
      </c>
      <c r="O11" s="33"/>
      <c r="P11" s="33"/>
      <c r="R11" s="32"/>
    </row>
    <row r="12" spans="1:18">
      <c r="A12" s="6" t="s">
        <v>37</v>
      </c>
      <c r="B12" s="37">
        <f t="shared" si="0"/>
        <v>6128.22</v>
      </c>
      <c r="C12" s="33"/>
      <c r="D12" s="37">
        <f>IF( ISERROR(IND_min_gas_kWh/1000),0,IND_min_gas_kWh/1000)*0.902</f>
        <v>3481.1138559999999</v>
      </c>
      <c r="E12" s="33">
        <f>C34*'E Balans VL '!I22/100/3.6*1000000</f>
        <v>47.737498517699024</v>
      </c>
      <c r="F12" s="33">
        <f>C34*'E Balans VL '!L22/100/3.6*1000000+C34*'E Balans VL '!N22/100/3.6*1000000</f>
        <v>2311.1879933790774</v>
      </c>
      <c r="G12" s="34"/>
      <c r="H12" s="33"/>
      <c r="I12" s="33"/>
      <c r="J12" s="40">
        <f>C34*'E Balans VL '!D22/100/3.6*1000000+C34*'E Balans VL '!E22/100/3.6*1000000</f>
        <v>33.704674191785436</v>
      </c>
      <c r="K12" s="33"/>
      <c r="L12" s="33"/>
      <c r="M12" s="33"/>
      <c r="N12" s="33">
        <f>C34*'E Balans VL '!Y22/100/3.6*1000000</f>
        <v>0</v>
      </c>
      <c r="O12" s="33"/>
      <c r="P12" s="33"/>
      <c r="R12" s="32"/>
    </row>
    <row r="13" spans="1:18">
      <c r="A13" s="6" t="s">
        <v>39</v>
      </c>
      <c r="B13" s="37">
        <f t="shared" si="0"/>
        <v>606.74800000000005</v>
      </c>
      <c r="C13" s="33"/>
      <c r="D13" s="37">
        <f>IF( ISERROR(IND_papier_gas_kWh/1000),0,IND_papier_gas_kWh/1000)*0.902</f>
        <v>0</v>
      </c>
      <c r="E13" s="33">
        <f>C35*'E Balans VL '!I23/100/3.6*1000000</f>
        <v>6.3567906599575901</v>
      </c>
      <c r="F13" s="33">
        <f>C35*'E Balans VL '!L23/100/3.6*1000000+C35*'E Balans VL '!N23/100/3.6*1000000</f>
        <v>45.275643303676041</v>
      </c>
      <c r="G13" s="34"/>
      <c r="H13" s="33"/>
      <c r="I13" s="33"/>
      <c r="J13" s="40">
        <f>C35*'E Balans VL '!D23/100/3.6*1000000+C35*'E Balans VL '!E23/100/3.6*1000000</f>
        <v>0</v>
      </c>
      <c r="K13" s="33"/>
      <c r="L13" s="33"/>
      <c r="M13" s="33"/>
      <c r="N13" s="33">
        <f>C35*'E Balans VL '!Y23/100/3.6*1000000</f>
        <v>1296.8605195679888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25.335376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13788.525</v>
      </c>
      <c r="C18" s="21">
        <f>C5+C16</f>
        <v>0</v>
      </c>
      <c r="D18" s="21">
        <f>MAX((D5+D16),0)</f>
        <v>9888.5736840000009</v>
      </c>
      <c r="E18" s="21">
        <f>MAX((E5+E16),0)</f>
        <v>1309.8087258141973</v>
      </c>
      <c r="F18" s="21">
        <f>MAX((F5+F16),0)</f>
        <v>6017.9757927402934</v>
      </c>
      <c r="G18" s="21"/>
      <c r="H18" s="21"/>
      <c r="I18" s="21"/>
      <c r="J18" s="21">
        <f>MAX((J5+J16),0)</f>
        <v>33.70606529125196</v>
      </c>
      <c r="K18" s="21"/>
      <c r="L18" s="21">
        <f>MAX((L5+L16),0)</f>
        <v>0</v>
      </c>
      <c r="M18" s="21"/>
      <c r="N18" s="21">
        <f>MAX((N5+N16),0)</f>
        <v>2816.2004548411887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0.16969574708083796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2339.8540510178109</v>
      </c>
      <c r="C22" s="23">
        <f ca="1">C18*C20</f>
        <v>0</v>
      </c>
      <c r="D22" s="23">
        <f>D18*D20</f>
        <v>1997.4918841680003</v>
      </c>
      <c r="E22" s="23">
        <f>E18*E20</f>
        <v>297.32658075982278</v>
      </c>
      <c r="F22" s="23">
        <f>F18*F20</f>
        <v>1606.7995366616585</v>
      </c>
      <c r="G22" s="23"/>
      <c r="H22" s="23"/>
      <c r="I22" s="23"/>
      <c r="J22" s="23">
        <f>J18*J20</f>
        <v>11.931947113103194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2286.547</v>
      </c>
      <c r="C30" s="39">
        <f>IF(ISERROR(B30*3.6/1000000/'E Balans VL '!Z18*100),0,B30*3.6/1000000/'E Balans VL '!Z18*100)</f>
        <v>0.22499038786728859</v>
      </c>
      <c r="D30" s="239" t="s">
        <v>692</v>
      </c>
    </row>
    <row r="31" spans="1:18">
      <c r="A31" s="6" t="s">
        <v>33</v>
      </c>
      <c r="B31" s="37">
        <f>IF( ISERROR(IND_ander_ele_kWh/1000),0,IND_ander_ele_kWh/1000)</f>
        <v>4364.6390000000001</v>
      </c>
      <c r="C31" s="39">
        <f>IF(ISERROR(B31*3.6/1000000/'E Balans VL '!Z19*100),0,B31*3.6/1000000/'E Balans VL '!Z19*100)</f>
        <v>0.19007654681176611</v>
      </c>
      <c r="D31" s="239" t="s">
        <v>692</v>
      </c>
    </row>
    <row r="32" spans="1:18">
      <c r="A32" s="173" t="s">
        <v>41</v>
      </c>
      <c r="B32" s="37">
        <f>IF( ISERROR(IND_voed_ele_kWh/1000),0,IND_voed_ele_kWh/1000)</f>
        <v>105.157</v>
      </c>
      <c r="C32" s="39">
        <f>IF(ISERROR(B32*3.6/1000000/'E Balans VL '!Z20*100),0,B32*3.6/1000000/'E Balans VL '!Z20*100)</f>
        <v>1.9952024221081367E-2</v>
      </c>
      <c r="D32" s="239" t="s">
        <v>692</v>
      </c>
    </row>
    <row r="33" spans="1:5">
      <c r="A33" s="173" t="s">
        <v>40</v>
      </c>
      <c r="B33" s="37">
        <f>IF( ISERROR(IND_textiel_ele_kWh/1000),0,IND_textiel_ele_kWh/1000)</f>
        <v>297.214</v>
      </c>
      <c r="C33" s="39">
        <f>IF(ISERROR(B33*3.6/1000000/'E Balans VL '!Z21*100),0,B33*3.6/1000000/'E Balans VL '!Z21*100)</f>
        <v>1.6969412151907871E-2</v>
      </c>
      <c r="D33" s="239" t="s">
        <v>692</v>
      </c>
    </row>
    <row r="34" spans="1:5">
      <c r="A34" s="173" t="s">
        <v>37</v>
      </c>
      <c r="B34" s="37">
        <f>IF( ISERROR(IND_min_ele_kWh/1000),0,IND_min_ele_kWh/1000)</f>
        <v>6128.22</v>
      </c>
      <c r="C34" s="39">
        <f>IF(ISERROR(B34*3.6/1000000/'E Balans VL '!Z22*100),0,B34*3.6/1000000/'E Balans VL '!Z22*100)</f>
        <v>0.86168926966713366</v>
      </c>
      <c r="D34" s="239" t="s">
        <v>692</v>
      </c>
    </row>
    <row r="35" spans="1:5">
      <c r="A35" s="173" t="s">
        <v>39</v>
      </c>
      <c r="B35" s="37">
        <f>IF( ISERROR(IND_papier_ele_kWh/1000),0,IND_papier_ele_kWh/1000)</f>
        <v>606.74800000000005</v>
      </c>
      <c r="C35" s="39">
        <f>IF(ISERROR(B35*3.6/1000000/'E Balans VL '!Z22*100),0,B35*3.6/1000000/'E Balans VL '!Z22*100)</f>
        <v>8.5314861573506498E-2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588.00800000000004</v>
      </c>
      <c r="C5" s="17">
        <f>'Eigen informatie GS &amp; warmtenet'!B60</f>
        <v>0</v>
      </c>
      <c r="D5" s="30">
        <f>IF(ISERROR(SUM(LB_lb_gas_kWh,LB_rest_gas_kWh,onbekend_gas_kWh)/1000),0,SUM(LB_lb_gas_kWh,LB_rest_gas_kWh,onbekend_gas_kWh)/1000)*0.902</f>
        <v>192.51476200000002</v>
      </c>
      <c r="E5" s="17">
        <f>B17*'E Balans VL '!I25/3.6*1000000/100</f>
        <v>7.4096583083210286</v>
      </c>
      <c r="F5" s="17">
        <f>B17*('E Balans VL '!L25/3.6*1000000+'E Balans VL '!N25/3.6*1000000)/100</f>
        <v>2028.7749048058231</v>
      </c>
      <c r="G5" s="18"/>
      <c r="H5" s="17"/>
      <c r="I5" s="17"/>
      <c r="J5" s="17">
        <f>('E Balans VL '!D25+'E Balans VL '!E25)/3.6*1000000*landbouw!B17/100</f>
        <v>88.429718960964763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588.00800000000004</v>
      </c>
      <c r="C8" s="21">
        <f>C5+C6</f>
        <v>0</v>
      </c>
      <c r="D8" s="21">
        <f>MAX((D5+D6),0)</f>
        <v>192.51476200000002</v>
      </c>
      <c r="E8" s="21">
        <f>MAX((E5+E6),0)</f>
        <v>7.4096583083210286</v>
      </c>
      <c r="F8" s="21">
        <f>MAX((F5+F6),0)</f>
        <v>2028.7749048058231</v>
      </c>
      <c r="G8" s="21"/>
      <c r="H8" s="21"/>
      <c r="I8" s="21"/>
      <c r="J8" s="21">
        <f>MAX((J5+J6),0)</f>
        <v>88.429718960964763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0.16969574708083796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99.782456849509373</v>
      </c>
      <c r="C12" s="23">
        <f ca="1">C8*C10</f>
        <v>0</v>
      </c>
      <c r="D12" s="23">
        <f>D8*D10</f>
        <v>38.887981924000009</v>
      </c>
      <c r="E12" s="23">
        <f>E8*E10</f>
        <v>1.6819924359888736</v>
      </c>
      <c r="F12" s="23">
        <f>F8*F10</f>
        <v>541.68289958315484</v>
      </c>
      <c r="G12" s="23"/>
      <c r="H12" s="23"/>
      <c r="I12" s="23"/>
      <c r="J12" s="23">
        <f>J8*J10</f>
        <v>31.304120512181523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8.2008583063608392E-2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47.943227719977749</v>
      </c>
      <c r="C26" s="249">
        <f>B26*'GWP N2O_CH4'!B5</f>
        <v>1006.8077821195327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14.173551671649367</v>
      </c>
      <c r="C27" s="249">
        <f>B27*'GWP N2O_CH4'!B5</f>
        <v>297.64458510463669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0.5742777595310502</v>
      </c>
      <c r="C28" s="249">
        <f>B28*'GWP N2O_CH4'!B4</f>
        <v>178.02610545462557</v>
      </c>
      <c r="D28" s="50"/>
    </row>
    <row r="29" spans="1:4">
      <c r="A29" s="41" t="s">
        <v>277</v>
      </c>
      <c r="B29" s="249">
        <f>B34*'ha_N2O bodem landbouw'!B4</f>
        <v>2.9127892121267811</v>
      </c>
      <c r="C29" s="249">
        <f>B29*'GWP N2O_CH4'!B4</f>
        <v>902.9646557593021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7.2729436086591166E-4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1.0811852579130473E-5</v>
      </c>
      <c r="C5" s="448" t="s">
        <v>211</v>
      </c>
      <c r="D5" s="433">
        <f>SUM(D6:D11)</f>
        <v>2.0677477991267449E-5</v>
      </c>
      <c r="E5" s="433">
        <f>SUM(E6:E11)</f>
        <v>6.1908982963629127E-4</v>
      </c>
      <c r="F5" s="446" t="s">
        <v>211</v>
      </c>
      <c r="G5" s="433">
        <f>SUM(G6:G11)</f>
        <v>0.13631574042984915</v>
      </c>
      <c r="H5" s="433">
        <f>SUM(H6:H11)</f>
        <v>3.0721849180877489E-2</v>
      </c>
      <c r="I5" s="448" t="s">
        <v>211</v>
      </c>
      <c r="J5" s="448" t="s">
        <v>211</v>
      </c>
      <c r="K5" s="448" t="s">
        <v>211</v>
      </c>
      <c r="L5" s="448" t="s">
        <v>211</v>
      </c>
      <c r="M5" s="433">
        <f>SUM(M6:M11)</f>
        <v>7.4646453549114689E-3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5.9637569037572055E-6</v>
      </c>
      <c r="C6" s="949"/>
      <c r="D6" s="949">
        <f>vkm_2011_GW_PW*SUMIFS(TableVerdeelsleutelVkm[CNG],TableVerdeelsleutelVkm[Voertuigtype],"Lichte voertuigen")*SUMIFS(TableECFTransport[EnergieConsumptieFactor (PJ per km)],TableECFTransport[Index],CONCATENATE($A6,"_CNG_CNG"))</f>
        <v>8.4458461709598468E-6</v>
      </c>
      <c r="E6" s="949">
        <f>vkm_2011_GW_PW*SUMIFS(TableVerdeelsleutelVkm[LPG],TableVerdeelsleutelVkm[Voertuigtype],"Lichte voertuigen")*SUMIFS(TableECFTransport[EnergieConsumptieFactor (PJ per km)],TableECFTransport[Index],CONCATENATE($A6,"_LPG_LPG"))</f>
        <v>2.6525622377021054E-4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4.7673806667833767E-2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1.2810385562959013E-2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2.6990727128331543E-3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2.2007220920376987E-2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7.8408528942598047E-6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9.93094316641435E-4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4.8480956753732678E-6</v>
      </c>
      <c r="C8" s="949"/>
      <c r="D8" s="436">
        <f>vkm_2011_NGW_PW*SUMIFS(TableVerdeelsleutelVkm[CNG],TableVerdeelsleutelVkm[Voertuigtype],"Lichte voertuigen")*SUMIFS(TableECFTransport[EnergieConsumptieFactor (PJ per km)],TableECFTransport[Index],CONCATENATE($A8,"_CNG_CNG"))</f>
        <v>1.2231631820307601E-5</v>
      </c>
      <c r="E8" s="436">
        <f>vkm_2011_NGW_PW*SUMIFS(TableVerdeelsleutelVkm[LPG],TableVerdeelsleutelVkm[Voertuigtype],"Lichte voertuigen")*SUMIFS(TableECFTransport[EnergieConsumptieFactor (PJ per km)],TableECFTransport[Index],CONCATENATE($A8,"_LPG_LPG"))</f>
        <v>3.5383360586608073E-4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5.997822731757263E-2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1.7901378532787574E-2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3.4721042824502339E-3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6.6564855240657554E-3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2.2442322366439251E-6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3.0037404298664621E-4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3.0032923830917979</v>
      </c>
      <c r="C14" s="21"/>
      <c r="D14" s="21">
        <f t="shared" ref="D14:M14" si="0">((D5)*10^9/3600)+D12</f>
        <v>5.7437438864631805</v>
      </c>
      <c r="E14" s="21">
        <f t="shared" si="0"/>
        <v>171.969397121192</v>
      </c>
      <c r="F14" s="21"/>
      <c r="G14" s="21">
        <f t="shared" si="0"/>
        <v>37865.483452735876</v>
      </c>
      <c r="H14" s="21">
        <f t="shared" si="0"/>
        <v>8533.8469946881905</v>
      </c>
      <c r="I14" s="21"/>
      <c r="J14" s="21"/>
      <c r="K14" s="21"/>
      <c r="L14" s="21"/>
      <c r="M14" s="21">
        <f t="shared" si="0"/>
        <v>2073.5125985865193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0.16969574708083796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0.50964594465095281</v>
      </c>
      <c r="C18" s="23"/>
      <c r="D18" s="23">
        <f t="shared" ref="D18:M18" si="1">D14*D16</f>
        <v>1.1602362650655624</v>
      </c>
      <c r="E18" s="23">
        <f t="shared" si="1"/>
        <v>39.037053146510587</v>
      </c>
      <c r="F18" s="23"/>
      <c r="G18" s="23">
        <f t="shared" si="1"/>
        <v>10110.084081880479</v>
      </c>
      <c r="H18" s="23">
        <f t="shared" si="1"/>
        <v>2124.9279016773594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4.3546292963560166E-3</v>
      </c>
      <c r="H50" s="323">
        <f t="shared" si="2"/>
        <v>0</v>
      </c>
      <c r="I50" s="323">
        <f t="shared" si="2"/>
        <v>0</v>
      </c>
      <c r="J50" s="323">
        <f t="shared" si="2"/>
        <v>0</v>
      </c>
      <c r="K50" s="323">
        <f t="shared" si="2"/>
        <v>0</v>
      </c>
      <c r="L50" s="323">
        <f t="shared" si="2"/>
        <v>0</v>
      </c>
      <c r="M50" s="323">
        <f t="shared" si="2"/>
        <v>1.936610158680698E-4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4.3546292963560166E-3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1.936610158680698E-4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1209.6192489877824</v>
      </c>
      <c r="H54" s="21">
        <f t="shared" si="3"/>
        <v>0</v>
      </c>
      <c r="I54" s="21">
        <f t="shared" si="3"/>
        <v>0</v>
      </c>
      <c r="J54" s="21">
        <f t="shared" si="3"/>
        <v>0</v>
      </c>
      <c r="K54" s="21">
        <f t="shared" si="3"/>
        <v>0</v>
      </c>
      <c r="L54" s="21">
        <f t="shared" si="3"/>
        <v>0</v>
      </c>
      <c r="M54" s="21">
        <f t="shared" si="3"/>
        <v>53.79472663001939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0.16969574708083796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322.96833947973789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11886.628754727879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11886.628754727879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17381.223999999998</v>
      </c>
      <c r="D10" s="704">
        <f ca="1">tertiair!C16</f>
        <v>0</v>
      </c>
      <c r="E10" s="704">
        <f ca="1">tertiair!D16</f>
        <v>19325.374354</v>
      </c>
      <c r="F10" s="704">
        <f>tertiair!E16</f>
        <v>225.1421837333821</v>
      </c>
      <c r="G10" s="704">
        <f ca="1">tertiair!F16</f>
        <v>2999.452076265914</v>
      </c>
      <c r="H10" s="704">
        <f>tertiair!G16</f>
        <v>0</v>
      </c>
      <c r="I10" s="704">
        <f>tertiair!H16</f>
        <v>0</v>
      </c>
      <c r="J10" s="704">
        <f>tertiair!I16</f>
        <v>0</v>
      </c>
      <c r="K10" s="704">
        <f>tertiair!J16</f>
        <v>0</v>
      </c>
      <c r="L10" s="704">
        <f>tertiair!K16</f>
        <v>0</v>
      </c>
      <c r="M10" s="704">
        <f ca="1">tertiair!L16</f>
        <v>0</v>
      </c>
      <c r="N10" s="704">
        <f>tertiair!M16</f>
        <v>0</v>
      </c>
      <c r="O10" s="704">
        <f ca="1">tertiair!N16</f>
        <v>503.70617869261633</v>
      </c>
      <c r="P10" s="704">
        <f>tertiair!O16</f>
        <v>1.5633333333333335</v>
      </c>
      <c r="Q10" s="705">
        <f>tertiair!P16</f>
        <v>0</v>
      </c>
      <c r="R10" s="707">
        <f ca="1">SUM(C10:Q10)</f>
        <v>40436.462126025246</v>
      </c>
      <c r="S10" s="67"/>
    </row>
    <row r="11" spans="1:19" s="459" customFormat="1">
      <c r="A11" s="858" t="s">
        <v>225</v>
      </c>
      <c r="B11" s="863"/>
      <c r="C11" s="704">
        <f>huishoudens!B8</f>
        <v>19442.498800659887</v>
      </c>
      <c r="D11" s="704">
        <f>huishoudens!C8</f>
        <v>0</v>
      </c>
      <c r="E11" s="704">
        <f>huishoudens!D8</f>
        <v>24506.817741999999</v>
      </c>
      <c r="F11" s="704">
        <f>huishoudens!E8</f>
        <v>816.26470068488743</v>
      </c>
      <c r="G11" s="704">
        <f>huishoudens!F8</f>
        <v>40775.092890984459</v>
      </c>
      <c r="H11" s="704">
        <f>huishoudens!G8</f>
        <v>0</v>
      </c>
      <c r="I11" s="704">
        <f>huishoudens!H8</f>
        <v>0</v>
      </c>
      <c r="J11" s="704">
        <f>huishoudens!I8</f>
        <v>0</v>
      </c>
      <c r="K11" s="704">
        <f>huishoudens!J8</f>
        <v>0</v>
      </c>
      <c r="L11" s="704">
        <f>huishoudens!K8</f>
        <v>0</v>
      </c>
      <c r="M11" s="704">
        <f>huishoudens!L8</f>
        <v>0</v>
      </c>
      <c r="N11" s="704">
        <f>huishoudens!M8</f>
        <v>0</v>
      </c>
      <c r="O11" s="704">
        <f>huishoudens!N8</f>
        <v>11684.083396627682</v>
      </c>
      <c r="P11" s="704">
        <f>huishoudens!O8</f>
        <v>167.27666666666667</v>
      </c>
      <c r="Q11" s="705">
        <f>huishoudens!P8</f>
        <v>343.2</v>
      </c>
      <c r="R11" s="707">
        <f>SUM(C11:Q11)</f>
        <v>97735.234197623577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13788.525</v>
      </c>
      <c r="D13" s="704">
        <f>industrie!C18</f>
        <v>0</v>
      </c>
      <c r="E13" s="704">
        <f>industrie!D18</f>
        <v>9888.5736840000009</v>
      </c>
      <c r="F13" s="704">
        <f>industrie!E18</f>
        <v>1309.8087258141973</v>
      </c>
      <c r="G13" s="704">
        <f>industrie!F18</f>
        <v>6017.9757927402934</v>
      </c>
      <c r="H13" s="704">
        <f>industrie!G18</f>
        <v>0</v>
      </c>
      <c r="I13" s="704">
        <f>industrie!H18</f>
        <v>0</v>
      </c>
      <c r="J13" s="704">
        <f>industrie!I18</f>
        <v>0</v>
      </c>
      <c r="K13" s="704">
        <f>industrie!J18</f>
        <v>33.70606529125196</v>
      </c>
      <c r="L13" s="704">
        <f>industrie!K18</f>
        <v>0</v>
      </c>
      <c r="M13" s="704">
        <f>industrie!L18</f>
        <v>0</v>
      </c>
      <c r="N13" s="704">
        <f>industrie!M18</f>
        <v>0</v>
      </c>
      <c r="O13" s="704">
        <f>industrie!N18</f>
        <v>2816.2004548411887</v>
      </c>
      <c r="P13" s="704">
        <f>industrie!O18</f>
        <v>0</v>
      </c>
      <c r="Q13" s="705">
        <f>industrie!P18</f>
        <v>0</v>
      </c>
      <c r="R13" s="707">
        <f>SUM(C13:Q13)</f>
        <v>33854.789722686932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50612.24780065989</v>
      </c>
      <c r="D15" s="709">
        <f t="shared" ref="D15:Q15" ca="1" si="0">SUM(D9:D14)</f>
        <v>0</v>
      </c>
      <c r="E15" s="709">
        <f t="shared" ca="1" si="0"/>
        <v>53720.765780000002</v>
      </c>
      <c r="F15" s="709">
        <f t="shared" si="0"/>
        <v>2351.215610232467</v>
      </c>
      <c r="G15" s="709">
        <f t="shared" ca="1" si="0"/>
        <v>49792.520759990672</v>
      </c>
      <c r="H15" s="709">
        <f t="shared" si="0"/>
        <v>0</v>
      </c>
      <c r="I15" s="709">
        <f t="shared" si="0"/>
        <v>0</v>
      </c>
      <c r="J15" s="709">
        <f t="shared" si="0"/>
        <v>0</v>
      </c>
      <c r="K15" s="709">
        <f t="shared" si="0"/>
        <v>33.70606529125196</v>
      </c>
      <c r="L15" s="709">
        <f t="shared" si="0"/>
        <v>0</v>
      </c>
      <c r="M15" s="709">
        <f t="shared" ca="1" si="0"/>
        <v>0</v>
      </c>
      <c r="N15" s="709">
        <f t="shared" si="0"/>
        <v>0</v>
      </c>
      <c r="O15" s="709">
        <f t="shared" ca="1" si="0"/>
        <v>15003.990030161487</v>
      </c>
      <c r="P15" s="709">
        <f t="shared" si="0"/>
        <v>168.84</v>
      </c>
      <c r="Q15" s="710">
        <f t="shared" si="0"/>
        <v>343.2</v>
      </c>
      <c r="R15" s="711">
        <f ca="1">SUM(R9:R14)</f>
        <v>172026.48604633575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1209.6192489877824</v>
      </c>
      <c r="I18" s="704">
        <f>transport!H54</f>
        <v>0</v>
      </c>
      <c r="J18" s="704">
        <f>transport!I54</f>
        <v>0</v>
      </c>
      <c r="K18" s="704">
        <f>transport!J54</f>
        <v>0</v>
      </c>
      <c r="L18" s="704">
        <f>transport!K54</f>
        <v>0</v>
      </c>
      <c r="M18" s="704">
        <f>transport!L54</f>
        <v>0</v>
      </c>
      <c r="N18" s="704">
        <f>transport!M54</f>
        <v>53.79472663001939</v>
      </c>
      <c r="O18" s="704">
        <f>transport!N54</f>
        <v>0</v>
      </c>
      <c r="P18" s="704">
        <f>transport!O54</f>
        <v>0</v>
      </c>
      <c r="Q18" s="705">
        <f>transport!P54</f>
        <v>0</v>
      </c>
      <c r="R18" s="707">
        <f>SUM(C18:Q18)</f>
        <v>1263.4139756178017</v>
      </c>
      <c r="S18" s="67"/>
    </row>
    <row r="19" spans="1:19" s="459" customFormat="1" ht="15" thickBot="1">
      <c r="A19" s="858" t="s">
        <v>307</v>
      </c>
      <c r="B19" s="863"/>
      <c r="C19" s="713">
        <f>transport!B14</f>
        <v>3.0032923830917979</v>
      </c>
      <c r="D19" s="713">
        <f>transport!C14</f>
        <v>0</v>
      </c>
      <c r="E19" s="713">
        <f>transport!D14</f>
        <v>5.7437438864631805</v>
      </c>
      <c r="F19" s="713">
        <f>transport!E14</f>
        <v>171.969397121192</v>
      </c>
      <c r="G19" s="713">
        <f>transport!F14</f>
        <v>0</v>
      </c>
      <c r="H19" s="713">
        <f>transport!G14</f>
        <v>37865.483452735876</v>
      </c>
      <c r="I19" s="713">
        <f>transport!H14</f>
        <v>8533.8469946881905</v>
      </c>
      <c r="J19" s="713">
        <f>transport!I14</f>
        <v>0</v>
      </c>
      <c r="K19" s="713">
        <f>transport!J14</f>
        <v>0</v>
      </c>
      <c r="L19" s="713">
        <f>transport!K14</f>
        <v>0</v>
      </c>
      <c r="M19" s="713">
        <f>transport!L14</f>
        <v>0</v>
      </c>
      <c r="N19" s="713">
        <f>transport!M14</f>
        <v>2073.5125985865193</v>
      </c>
      <c r="O19" s="713">
        <f>transport!N14</f>
        <v>0</v>
      </c>
      <c r="P19" s="713">
        <f>transport!O14</f>
        <v>0</v>
      </c>
      <c r="Q19" s="714">
        <f>transport!P14</f>
        <v>0</v>
      </c>
      <c r="R19" s="715">
        <f>SUM(C19:Q19)</f>
        <v>48653.55947940133</v>
      </c>
      <c r="S19" s="67"/>
    </row>
    <row r="20" spans="1:19" s="459" customFormat="1" ht="15.75" thickBot="1">
      <c r="A20" s="716" t="s">
        <v>230</v>
      </c>
      <c r="B20" s="866"/>
      <c r="C20" s="861">
        <f>SUM(C17:C19)</f>
        <v>3.0032923830917979</v>
      </c>
      <c r="D20" s="717">
        <f t="shared" ref="D20:R20" si="1">SUM(D17:D19)</f>
        <v>0</v>
      </c>
      <c r="E20" s="717">
        <f t="shared" si="1"/>
        <v>5.7437438864631805</v>
      </c>
      <c r="F20" s="717">
        <f t="shared" si="1"/>
        <v>171.969397121192</v>
      </c>
      <c r="G20" s="717">
        <f t="shared" si="1"/>
        <v>0</v>
      </c>
      <c r="H20" s="717">
        <f t="shared" si="1"/>
        <v>39075.102701723656</v>
      </c>
      <c r="I20" s="717">
        <f t="shared" si="1"/>
        <v>8533.8469946881905</v>
      </c>
      <c r="J20" s="717">
        <f t="shared" si="1"/>
        <v>0</v>
      </c>
      <c r="K20" s="717">
        <f t="shared" si="1"/>
        <v>0</v>
      </c>
      <c r="L20" s="717">
        <f t="shared" si="1"/>
        <v>0</v>
      </c>
      <c r="M20" s="717">
        <f t="shared" si="1"/>
        <v>0</v>
      </c>
      <c r="N20" s="717">
        <f t="shared" si="1"/>
        <v>2127.3073252165386</v>
      </c>
      <c r="O20" s="717">
        <f t="shared" si="1"/>
        <v>0</v>
      </c>
      <c r="P20" s="717">
        <f t="shared" si="1"/>
        <v>0</v>
      </c>
      <c r="Q20" s="718">
        <f t="shared" si="1"/>
        <v>0</v>
      </c>
      <c r="R20" s="719">
        <f t="shared" si="1"/>
        <v>49916.973455019135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588.00800000000004</v>
      </c>
      <c r="D22" s="713">
        <f>+landbouw!C8</f>
        <v>0</v>
      </c>
      <c r="E22" s="713">
        <f>+landbouw!D8</f>
        <v>192.51476200000002</v>
      </c>
      <c r="F22" s="713">
        <f>+landbouw!E8</f>
        <v>7.4096583083210286</v>
      </c>
      <c r="G22" s="713">
        <f>+landbouw!F8</f>
        <v>2028.7749048058231</v>
      </c>
      <c r="H22" s="713">
        <f>+landbouw!G8</f>
        <v>0</v>
      </c>
      <c r="I22" s="713">
        <f>+landbouw!H8</f>
        <v>0</v>
      </c>
      <c r="J22" s="713">
        <f>+landbouw!I8</f>
        <v>0</v>
      </c>
      <c r="K22" s="713">
        <f>+landbouw!J8</f>
        <v>88.429718960964763</v>
      </c>
      <c r="L22" s="713">
        <f>+landbouw!K8</f>
        <v>0</v>
      </c>
      <c r="M22" s="713">
        <f>+landbouw!L8</f>
        <v>0</v>
      </c>
      <c r="N22" s="713">
        <f>+landbouw!M8</f>
        <v>0</v>
      </c>
      <c r="O22" s="713">
        <f>+landbouw!N8</f>
        <v>0</v>
      </c>
      <c r="P22" s="713">
        <f>+landbouw!O8</f>
        <v>0</v>
      </c>
      <c r="Q22" s="714">
        <f>+landbouw!P8</f>
        <v>0</v>
      </c>
      <c r="R22" s="715">
        <f>SUM(C22:Q22)</f>
        <v>2905.1370440751089</v>
      </c>
      <c r="S22" s="67"/>
    </row>
    <row r="23" spans="1:19" s="459" customFormat="1" ht="17.25" thickTop="1" thickBot="1">
      <c r="A23" s="720" t="s">
        <v>116</v>
      </c>
      <c r="B23" s="852"/>
      <c r="C23" s="721">
        <f ca="1">C20+C15+C22</f>
        <v>51203.259093042987</v>
      </c>
      <c r="D23" s="721">
        <f t="shared" ref="D23:Q23" ca="1" si="2">D20+D15+D22</f>
        <v>0</v>
      </c>
      <c r="E23" s="721">
        <f t="shared" ca="1" si="2"/>
        <v>53919.024285886466</v>
      </c>
      <c r="F23" s="721">
        <f t="shared" si="2"/>
        <v>2530.5946656619799</v>
      </c>
      <c r="G23" s="721">
        <f t="shared" ca="1" si="2"/>
        <v>51821.295664796497</v>
      </c>
      <c r="H23" s="721">
        <f t="shared" si="2"/>
        <v>39075.102701723656</v>
      </c>
      <c r="I23" s="721">
        <f t="shared" si="2"/>
        <v>8533.8469946881905</v>
      </c>
      <c r="J23" s="721">
        <f t="shared" si="2"/>
        <v>0</v>
      </c>
      <c r="K23" s="721">
        <f t="shared" si="2"/>
        <v>122.13578425221672</v>
      </c>
      <c r="L23" s="721">
        <f t="shared" si="2"/>
        <v>0</v>
      </c>
      <c r="M23" s="721">
        <f t="shared" ca="1" si="2"/>
        <v>0</v>
      </c>
      <c r="N23" s="721">
        <f t="shared" si="2"/>
        <v>2127.3073252165386</v>
      </c>
      <c r="O23" s="721">
        <f t="shared" ca="1" si="2"/>
        <v>15003.990030161487</v>
      </c>
      <c r="P23" s="721">
        <f t="shared" si="2"/>
        <v>168.84</v>
      </c>
      <c r="Q23" s="722">
        <f t="shared" si="2"/>
        <v>343.2</v>
      </c>
      <c r="R23" s="723">
        <f ca="1">R20+R15+R22</f>
        <v>224848.59654543002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2949.5197918593904</v>
      </c>
      <c r="D36" s="704">
        <f ca="1">tertiair!C20</f>
        <v>0</v>
      </c>
      <c r="E36" s="704">
        <f ca="1">tertiair!D20</f>
        <v>3903.7256195080004</v>
      </c>
      <c r="F36" s="704">
        <f>tertiair!E20</f>
        <v>51.10727570747774</v>
      </c>
      <c r="G36" s="704">
        <f ca="1">tertiair!F20</f>
        <v>800.85370436299911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7705.2063914378678</v>
      </c>
    </row>
    <row r="37" spans="1:18">
      <c r="A37" s="873" t="s">
        <v>225</v>
      </c>
      <c r="B37" s="880"/>
      <c r="C37" s="704">
        <f ca="1">huishoudens!B12</f>
        <v>3299.3093590962753</v>
      </c>
      <c r="D37" s="704">
        <f ca="1">huishoudens!C12</f>
        <v>0</v>
      </c>
      <c r="E37" s="704">
        <f>huishoudens!D12</f>
        <v>4950.3771838840003</v>
      </c>
      <c r="F37" s="704">
        <f>huishoudens!E12</f>
        <v>185.29208705546947</v>
      </c>
      <c r="G37" s="704">
        <f>huishoudens!F12</f>
        <v>10886.949801892852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19321.928431928594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2339.8540510178109</v>
      </c>
      <c r="D39" s="704">
        <f ca="1">industrie!C22</f>
        <v>0</v>
      </c>
      <c r="E39" s="704">
        <f>industrie!D22</f>
        <v>1997.4918841680003</v>
      </c>
      <c r="F39" s="704">
        <f>industrie!E22</f>
        <v>297.32658075982278</v>
      </c>
      <c r="G39" s="704">
        <f>industrie!F22</f>
        <v>1606.7995366616585</v>
      </c>
      <c r="H39" s="704">
        <f>industrie!G22</f>
        <v>0</v>
      </c>
      <c r="I39" s="704">
        <f>industrie!H22</f>
        <v>0</v>
      </c>
      <c r="J39" s="704">
        <f>industrie!I22</f>
        <v>0</v>
      </c>
      <c r="K39" s="704">
        <f>industrie!J22</f>
        <v>11.931947113103194</v>
      </c>
      <c r="L39" s="704">
        <f>industrie!K22</f>
        <v>0</v>
      </c>
      <c r="M39" s="704">
        <f>industrie!L22</f>
        <v>0</v>
      </c>
      <c r="N39" s="704">
        <f>industrie!M22</f>
        <v>0</v>
      </c>
      <c r="O39" s="704">
        <f>industrie!N22</f>
        <v>0</v>
      </c>
      <c r="P39" s="704">
        <f>industrie!O22</f>
        <v>0</v>
      </c>
      <c r="Q39" s="814">
        <f>industrie!P22</f>
        <v>0</v>
      </c>
      <c r="R39" s="906">
        <f ca="1">SUM(C39:Q39)</f>
        <v>6253.4039997203954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8588.6832019734757</v>
      </c>
      <c r="D41" s="749">
        <f t="shared" ref="D41:R41" ca="1" si="4">SUM(D35:D40)</f>
        <v>0</v>
      </c>
      <c r="E41" s="749">
        <f t="shared" ca="1" si="4"/>
        <v>10851.594687560002</v>
      </c>
      <c r="F41" s="749">
        <f t="shared" si="4"/>
        <v>533.72594352276997</v>
      </c>
      <c r="G41" s="749">
        <f t="shared" ca="1" si="4"/>
        <v>13294.603042917508</v>
      </c>
      <c r="H41" s="749">
        <f t="shared" si="4"/>
        <v>0</v>
      </c>
      <c r="I41" s="749">
        <f t="shared" si="4"/>
        <v>0</v>
      </c>
      <c r="J41" s="749">
        <f t="shared" si="4"/>
        <v>0</v>
      </c>
      <c r="K41" s="749">
        <f t="shared" si="4"/>
        <v>11.931947113103194</v>
      </c>
      <c r="L41" s="749">
        <f t="shared" si="4"/>
        <v>0</v>
      </c>
      <c r="M41" s="749">
        <f t="shared" ca="1" si="4"/>
        <v>0</v>
      </c>
      <c r="N41" s="749">
        <f t="shared" si="4"/>
        <v>0</v>
      </c>
      <c r="O41" s="749">
        <f t="shared" ca="1" si="4"/>
        <v>0</v>
      </c>
      <c r="P41" s="749">
        <f t="shared" si="4"/>
        <v>0</v>
      </c>
      <c r="Q41" s="750">
        <f t="shared" si="4"/>
        <v>0</v>
      </c>
      <c r="R41" s="751">
        <f t="shared" ca="1" si="4"/>
        <v>33280.538823086856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322.96833947973789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322.96833947973789</v>
      </c>
    </row>
    <row r="45" spans="1:18" ht="15" thickBot="1">
      <c r="A45" s="876" t="s">
        <v>307</v>
      </c>
      <c r="B45" s="886"/>
      <c r="C45" s="713">
        <f ca="1">transport!B18</f>
        <v>0.50964594465095281</v>
      </c>
      <c r="D45" s="713">
        <f>transport!C18</f>
        <v>0</v>
      </c>
      <c r="E45" s="713">
        <f>transport!D18</f>
        <v>1.1602362650655624</v>
      </c>
      <c r="F45" s="713">
        <f>transport!E18</f>
        <v>39.037053146510587</v>
      </c>
      <c r="G45" s="713">
        <f>transport!F18</f>
        <v>0</v>
      </c>
      <c r="H45" s="713">
        <f>transport!G18</f>
        <v>10110.084081880479</v>
      </c>
      <c r="I45" s="713">
        <f>transport!H18</f>
        <v>2124.9279016773594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12275.718918914066</v>
      </c>
    </row>
    <row r="46" spans="1:18" ht="15.75" thickBot="1">
      <c r="A46" s="874" t="s">
        <v>230</v>
      </c>
      <c r="B46" s="887"/>
      <c r="C46" s="749">
        <f t="shared" ref="C46:R46" ca="1" si="5">SUM(C43:C45)</f>
        <v>0.50964594465095281</v>
      </c>
      <c r="D46" s="749">
        <f t="shared" ca="1" si="5"/>
        <v>0</v>
      </c>
      <c r="E46" s="749">
        <f t="shared" si="5"/>
        <v>1.1602362650655624</v>
      </c>
      <c r="F46" s="749">
        <f t="shared" si="5"/>
        <v>39.037053146510587</v>
      </c>
      <c r="G46" s="749">
        <f t="shared" si="5"/>
        <v>0</v>
      </c>
      <c r="H46" s="749">
        <f t="shared" si="5"/>
        <v>10433.052421360217</v>
      </c>
      <c r="I46" s="749">
        <f t="shared" si="5"/>
        <v>2124.9279016773594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12598.687258393804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99.782456849509373</v>
      </c>
      <c r="D48" s="704">
        <f ca="1">+landbouw!C12</f>
        <v>0</v>
      </c>
      <c r="E48" s="704">
        <f>+landbouw!D12</f>
        <v>38.887981924000009</v>
      </c>
      <c r="F48" s="704">
        <f>+landbouw!E12</f>
        <v>1.6819924359888736</v>
      </c>
      <c r="G48" s="704">
        <f>+landbouw!F12</f>
        <v>541.68289958315484</v>
      </c>
      <c r="H48" s="704">
        <f>+landbouw!G12</f>
        <v>0</v>
      </c>
      <c r="I48" s="704">
        <f>+landbouw!H12</f>
        <v>0</v>
      </c>
      <c r="J48" s="704">
        <f>+landbouw!I12</f>
        <v>0</v>
      </c>
      <c r="K48" s="704">
        <f>+landbouw!J12</f>
        <v>31.304120512181523</v>
      </c>
      <c r="L48" s="704">
        <f>+landbouw!K12</f>
        <v>0</v>
      </c>
      <c r="M48" s="704">
        <f>+landbouw!L12</f>
        <v>0</v>
      </c>
      <c r="N48" s="704">
        <f>+landbouw!M12</f>
        <v>0</v>
      </c>
      <c r="O48" s="704">
        <f>+landbouw!N12</f>
        <v>0</v>
      </c>
      <c r="P48" s="704">
        <f>+landbouw!O12</f>
        <v>0</v>
      </c>
      <c r="Q48" s="705">
        <f>+landbouw!P12</f>
        <v>0</v>
      </c>
      <c r="R48" s="747">
        <f ca="1">SUM(C48:Q48)</f>
        <v>713.3394513048346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8688.975304767635</v>
      </c>
      <c r="D53" s="759">
        <f t="shared" ref="D53:Q53" ca="1" si="6">D41+D46+D48</f>
        <v>0</v>
      </c>
      <c r="E53" s="759">
        <f t="shared" ca="1" si="6"/>
        <v>10891.642905749066</v>
      </c>
      <c r="F53" s="759">
        <f t="shared" si="6"/>
        <v>574.44498910526943</v>
      </c>
      <c r="G53" s="759">
        <f t="shared" ca="1" si="6"/>
        <v>13836.285942500663</v>
      </c>
      <c r="H53" s="759">
        <f t="shared" si="6"/>
        <v>10433.052421360217</v>
      </c>
      <c r="I53" s="759">
        <f t="shared" si="6"/>
        <v>2124.9279016773594</v>
      </c>
      <c r="J53" s="759">
        <f t="shared" si="6"/>
        <v>0</v>
      </c>
      <c r="K53" s="759">
        <f t="shared" si="6"/>
        <v>43.236067625284718</v>
      </c>
      <c r="L53" s="759">
        <f t="shared" si="6"/>
        <v>0</v>
      </c>
      <c r="M53" s="759">
        <f t="shared" ca="1" si="6"/>
        <v>0</v>
      </c>
      <c r="N53" s="759">
        <f t="shared" si="6"/>
        <v>0</v>
      </c>
      <c r="O53" s="759">
        <f t="shared" ca="1" si="6"/>
        <v>0</v>
      </c>
      <c r="P53" s="759">
        <f>P41+P46+P48</f>
        <v>0</v>
      </c>
      <c r="Q53" s="760">
        <f t="shared" si="6"/>
        <v>0</v>
      </c>
      <c r="R53" s="761">
        <f ca="1">R41+R46+R48</f>
        <v>46592.565532785491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0.16969574708083787</v>
      </c>
      <c r="D55" s="824">
        <f t="shared" ca="1" si="7"/>
        <v>0</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11886.628754727879</v>
      </c>
      <c r="C66" s="781">
        <f>'lokale energieproductie'!B6</f>
        <v>11886.628754727879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11886.628754727879</v>
      </c>
      <c r="C69" s="789">
        <f>SUM(C64:C68)</f>
        <v>11886.628754727879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19442.498800659887</v>
      </c>
      <c r="C4" s="463">
        <f>huishoudens!C8</f>
        <v>0</v>
      </c>
      <c r="D4" s="463">
        <f>huishoudens!D8</f>
        <v>24506.817741999999</v>
      </c>
      <c r="E4" s="463">
        <f>huishoudens!E8</f>
        <v>816.26470068488743</v>
      </c>
      <c r="F4" s="463">
        <f>huishoudens!F8</f>
        <v>40775.092890984459</v>
      </c>
      <c r="G4" s="463">
        <f>huishoudens!G8</f>
        <v>0</v>
      </c>
      <c r="H4" s="463">
        <f>huishoudens!H8</f>
        <v>0</v>
      </c>
      <c r="I4" s="463">
        <f>huishoudens!I8</f>
        <v>0</v>
      </c>
      <c r="J4" s="463">
        <f>huishoudens!J8</f>
        <v>0</v>
      </c>
      <c r="K4" s="463">
        <f>huishoudens!K8</f>
        <v>0</v>
      </c>
      <c r="L4" s="463">
        <f>huishoudens!L8</f>
        <v>0</v>
      </c>
      <c r="M4" s="463">
        <f>huishoudens!M8</f>
        <v>0</v>
      </c>
      <c r="N4" s="463">
        <f>huishoudens!N8</f>
        <v>11684.083396627682</v>
      </c>
      <c r="O4" s="463">
        <f>huishoudens!O8</f>
        <v>167.27666666666667</v>
      </c>
      <c r="P4" s="464">
        <f>huishoudens!P8</f>
        <v>343.2</v>
      </c>
      <c r="Q4" s="465">
        <f>SUM(B4:P4)</f>
        <v>97735.234197623577</v>
      </c>
    </row>
    <row r="5" spans="1:17">
      <c r="A5" s="462" t="s">
        <v>156</v>
      </c>
      <c r="B5" s="463">
        <f ca="1">tertiair!B16</f>
        <v>16578.195</v>
      </c>
      <c r="C5" s="463">
        <f ca="1">tertiair!C16</f>
        <v>0</v>
      </c>
      <c r="D5" s="463">
        <f ca="1">tertiair!D16</f>
        <v>19325.374354</v>
      </c>
      <c r="E5" s="463">
        <f>tertiair!E16</f>
        <v>225.1421837333821</v>
      </c>
      <c r="F5" s="463">
        <f ca="1">tertiair!F16</f>
        <v>2999.452076265914</v>
      </c>
      <c r="G5" s="463">
        <f>tertiair!G16</f>
        <v>0</v>
      </c>
      <c r="H5" s="463">
        <f>tertiair!H16</f>
        <v>0</v>
      </c>
      <c r="I5" s="463">
        <f>tertiair!I16</f>
        <v>0</v>
      </c>
      <c r="J5" s="463">
        <f>tertiair!J16</f>
        <v>0</v>
      </c>
      <c r="K5" s="463">
        <f>tertiair!K16</f>
        <v>0</v>
      </c>
      <c r="L5" s="463">
        <f ca="1">tertiair!L16</f>
        <v>0</v>
      </c>
      <c r="M5" s="463">
        <f>tertiair!M16</f>
        <v>0</v>
      </c>
      <c r="N5" s="463">
        <f ca="1">tertiair!N16</f>
        <v>503.70617869261633</v>
      </c>
      <c r="O5" s="463">
        <f>tertiair!O16</f>
        <v>1.5633333333333335</v>
      </c>
      <c r="P5" s="464">
        <f>tertiair!P16</f>
        <v>0</v>
      </c>
      <c r="Q5" s="462">
        <f t="shared" ref="Q5:Q13" ca="1" si="0">SUM(B5:P5)</f>
        <v>39633.433126025244</v>
      </c>
    </row>
    <row r="6" spans="1:17">
      <c r="A6" s="462" t="s">
        <v>194</v>
      </c>
      <c r="B6" s="463">
        <f>'openbare verlichting'!B8</f>
        <v>803.029</v>
      </c>
      <c r="C6" s="463"/>
      <c r="D6" s="463"/>
      <c r="E6" s="463"/>
      <c r="F6" s="463"/>
      <c r="G6" s="463"/>
      <c r="H6" s="463"/>
      <c r="I6" s="463"/>
      <c r="J6" s="463"/>
      <c r="K6" s="463"/>
      <c r="L6" s="463"/>
      <c r="M6" s="463"/>
      <c r="N6" s="463"/>
      <c r="O6" s="463"/>
      <c r="P6" s="464"/>
      <c r="Q6" s="462">
        <f t="shared" si="0"/>
        <v>803.029</v>
      </c>
    </row>
    <row r="7" spans="1:17">
      <c r="A7" s="462" t="s">
        <v>112</v>
      </c>
      <c r="B7" s="463">
        <f>landbouw!B8</f>
        <v>588.00800000000004</v>
      </c>
      <c r="C7" s="463">
        <f>landbouw!C8</f>
        <v>0</v>
      </c>
      <c r="D7" s="463">
        <f>landbouw!D8</f>
        <v>192.51476200000002</v>
      </c>
      <c r="E7" s="463">
        <f>landbouw!E8</f>
        <v>7.4096583083210286</v>
      </c>
      <c r="F7" s="463">
        <f>landbouw!F8</f>
        <v>2028.7749048058231</v>
      </c>
      <c r="G7" s="463">
        <f>landbouw!G8</f>
        <v>0</v>
      </c>
      <c r="H7" s="463">
        <f>landbouw!H8</f>
        <v>0</v>
      </c>
      <c r="I7" s="463">
        <f>landbouw!I8</f>
        <v>0</v>
      </c>
      <c r="J7" s="463">
        <f>landbouw!J8</f>
        <v>88.429718960964763</v>
      </c>
      <c r="K7" s="463">
        <f>landbouw!K8</f>
        <v>0</v>
      </c>
      <c r="L7" s="463">
        <f>landbouw!L8</f>
        <v>0</v>
      </c>
      <c r="M7" s="463">
        <f>landbouw!M8</f>
        <v>0</v>
      </c>
      <c r="N7" s="463">
        <f>landbouw!N8</f>
        <v>0</v>
      </c>
      <c r="O7" s="463">
        <f>landbouw!O8</f>
        <v>0</v>
      </c>
      <c r="P7" s="464">
        <f>landbouw!P8</f>
        <v>0</v>
      </c>
      <c r="Q7" s="462">
        <f t="shared" si="0"/>
        <v>2905.1370440751089</v>
      </c>
    </row>
    <row r="8" spans="1:17">
      <c r="A8" s="462" t="s">
        <v>657</v>
      </c>
      <c r="B8" s="463">
        <f>industrie!B18</f>
        <v>13788.525</v>
      </c>
      <c r="C8" s="463">
        <f>industrie!C18</f>
        <v>0</v>
      </c>
      <c r="D8" s="463">
        <f>industrie!D18</f>
        <v>9888.5736840000009</v>
      </c>
      <c r="E8" s="463">
        <f>industrie!E18</f>
        <v>1309.8087258141973</v>
      </c>
      <c r="F8" s="463">
        <f>industrie!F18</f>
        <v>6017.9757927402934</v>
      </c>
      <c r="G8" s="463">
        <f>industrie!G18</f>
        <v>0</v>
      </c>
      <c r="H8" s="463">
        <f>industrie!H18</f>
        <v>0</v>
      </c>
      <c r="I8" s="463">
        <f>industrie!I18</f>
        <v>0</v>
      </c>
      <c r="J8" s="463">
        <f>industrie!J18</f>
        <v>33.70606529125196</v>
      </c>
      <c r="K8" s="463">
        <f>industrie!K18</f>
        <v>0</v>
      </c>
      <c r="L8" s="463">
        <f>industrie!L18</f>
        <v>0</v>
      </c>
      <c r="M8" s="463">
        <f>industrie!M18</f>
        <v>0</v>
      </c>
      <c r="N8" s="463">
        <f>industrie!N18</f>
        <v>2816.2004548411887</v>
      </c>
      <c r="O8" s="463">
        <f>industrie!O18</f>
        <v>0</v>
      </c>
      <c r="P8" s="464">
        <f>industrie!P18</f>
        <v>0</v>
      </c>
      <c r="Q8" s="462">
        <f t="shared" si="0"/>
        <v>33854.789722686932</v>
      </c>
    </row>
    <row r="9" spans="1:17" s="468" customFormat="1">
      <c r="A9" s="466" t="s">
        <v>574</v>
      </c>
      <c r="B9" s="467">
        <f>transport!B14</f>
        <v>3.0032923830917979</v>
      </c>
      <c r="C9" s="467">
        <f>transport!C14</f>
        <v>0</v>
      </c>
      <c r="D9" s="467">
        <f>transport!D14</f>
        <v>5.7437438864631805</v>
      </c>
      <c r="E9" s="467">
        <f>transport!E14</f>
        <v>171.969397121192</v>
      </c>
      <c r="F9" s="467">
        <f>transport!F14</f>
        <v>0</v>
      </c>
      <c r="G9" s="467">
        <f>transport!G14</f>
        <v>37865.483452735876</v>
      </c>
      <c r="H9" s="467">
        <f>transport!H14</f>
        <v>8533.8469946881905</v>
      </c>
      <c r="I9" s="467">
        <f>transport!I14</f>
        <v>0</v>
      </c>
      <c r="J9" s="467">
        <f>transport!J14</f>
        <v>0</v>
      </c>
      <c r="K9" s="467">
        <f>transport!K14</f>
        <v>0</v>
      </c>
      <c r="L9" s="467">
        <f>transport!L14</f>
        <v>0</v>
      </c>
      <c r="M9" s="467">
        <f>transport!M14</f>
        <v>2073.5125985865193</v>
      </c>
      <c r="N9" s="467">
        <f>transport!N14</f>
        <v>0</v>
      </c>
      <c r="O9" s="467">
        <f>transport!O14</f>
        <v>0</v>
      </c>
      <c r="P9" s="467">
        <f>transport!P14</f>
        <v>0</v>
      </c>
      <c r="Q9" s="466">
        <f>SUM(B9:P9)</f>
        <v>48653.55947940133</v>
      </c>
    </row>
    <row r="10" spans="1:17">
      <c r="A10" s="462" t="s">
        <v>564</v>
      </c>
      <c r="B10" s="463">
        <f>transport!B54</f>
        <v>0</v>
      </c>
      <c r="C10" s="463">
        <f>transport!C54</f>
        <v>0</v>
      </c>
      <c r="D10" s="463">
        <f>transport!D54</f>
        <v>0</v>
      </c>
      <c r="E10" s="463">
        <f>transport!E54</f>
        <v>0</v>
      </c>
      <c r="F10" s="463">
        <f>transport!F54</f>
        <v>0</v>
      </c>
      <c r="G10" s="463">
        <f>transport!G54</f>
        <v>1209.6192489877824</v>
      </c>
      <c r="H10" s="463">
        <f>transport!H54</f>
        <v>0</v>
      </c>
      <c r="I10" s="463">
        <f>transport!I54</f>
        <v>0</v>
      </c>
      <c r="J10" s="463">
        <f>transport!J54</f>
        <v>0</v>
      </c>
      <c r="K10" s="463">
        <f>transport!K54</f>
        <v>0</v>
      </c>
      <c r="L10" s="463">
        <f>transport!L54</f>
        <v>0</v>
      </c>
      <c r="M10" s="463">
        <f>transport!M54</f>
        <v>53.79472663001939</v>
      </c>
      <c r="N10" s="463">
        <f>transport!N54</f>
        <v>0</v>
      </c>
      <c r="O10" s="463">
        <f>transport!O54</f>
        <v>0</v>
      </c>
      <c r="P10" s="464">
        <f>transport!P54</f>
        <v>0</v>
      </c>
      <c r="Q10" s="462">
        <f t="shared" si="0"/>
        <v>1263.4139756178017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51203.259093042987</v>
      </c>
      <c r="C14" s="473">
        <f t="shared" ref="C14:Q14" ca="1" si="1">SUM(C4:C13)</f>
        <v>0</v>
      </c>
      <c r="D14" s="473">
        <f t="shared" ca="1" si="1"/>
        <v>53919.024285886466</v>
      </c>
      <c r="E14" s="473">
        <f t="shared" si="1"/>
        <v>2530.5946656619799</v>
      </c>
      <c r="F14" s="473">
        <f t="shared" ca="1" si="1"/>
        <v>51821.295664796489</v>
      </c>
      <c r="G14" s="473">
        <f t="shared" si="1"/>
        <v>39075.102701723656</v>
      </c>
      <c r="H14" s="473">
        <f t="shared" si="1"/>
        <v>8533.8469946881905</v>
      </c>
      <c r="I14" s="473">
        <f t="shared" si="1"/>
        <v>0</v>
      </c>
      <c r="J14" s="473">
        <f t="shared" si="1"/>
        <v>122.13578425221672</v>
      </c>
      <c r="K14" s="473">
        <f t="shared" si="1"/>
        <v>0</v>
      </c>
      <c r="L14" s="473">
        <f t="shared" ca="1" si="1"/>
        <v>0</v>
      </c>
      <c r="M14" s="473">
        <f t="shared" si="1"/>
        <v>2127.3073252165386</v>
      </c>
      <c r="N14" s="473">
        <f t="shared" ca="1" si="1"/>
        <v>15003.990030161487</v>
      </c>
      <c r="O14" s="473">
        <f t="shared" si="1"/>
        <v>168.84</v>
      </c>
      <c r="P14" s="474">
        <f t="shared" si="1"/>
        <v>343.2</v>
      </c>
      <c r="Q14" s="474">
        <f t="shared" ca="1" si="1"/>
        <v>224848.59654542999</v>
      </c>
    </row>
    <row r="16" spans="1:17">
      <c r="A16" s="476" t="s">
        <v>569</v>
      </c>
      <c r="B16" s="829">
        <f ca="1">huishoudens!B10</f>
        <v>0.16969574708083796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3299.3093590962753</v>
      </c>
      <c r="C21" s="463">
        <f t="shared" ref="C21:C30" ca="1" si="3">C4*$C$16</f>
        <v>0</v>
      </c>
      <c r="D21" s="463">
        <f t="shared" ref="D21:D30" si="4">D4*$D$16</f>
        <v>4950.3771838840003</v>
      </c>
      <c r="E21" s="463">
        <f t="shared" ref="E21:E30" si="5">E4*$E$16</f>
        <v>185.29208705546947</v>
      </c>
      <c r="F21" s="463">
        <f t="shared" ref="F21:F30" si="6">F4*$F$16</f>
        <v>10886.949801892852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19321.928431928594</v>
      </c>
    </row>
    <row r="22" spans="1:17">
      <c r="A22" s="462" t="s">
        <v>156</v>
      </c>
      <c r="B22" s="463">
        <f t="shared" ca="1" si="2"/>
        <v>2813.2491857768123</v>
      </c>
      <c r="C22" s="463">
        <f t="shared" ca="1" si="3"/>
        <v>0</v>
      </c>
      <c r="D22" s="463">
        <f t="shared" ca="1" si="4"/>
        <v>3903.7256195080004</v>
      </c>
      <c r="E22" s="463">
        <f t="shared" si="5"/>
        <v>51.10727570747774</v>
      </c>
      <c r="F22" s="463">
        <f t="shared" ca="1" si="6"/>
        <v>800.85370436299911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7568.9357853552901</v>
      </c>
    </row>
    <row r="23" spans="1:17">
      <c r="A23" s="462" t="s">
        <v>194</v>
      </c>
      <c r="B23" s="463">
        <f t="shared" ca="1" si="2"/>
        <v>136.27060608257821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136.27060608257821</v>
      </c>
    </row>
    <row r="24" spans="1:17">
      <c r="A24" s="462" t="s">
        <v>112</v>
      </c>
      <c r="B24" s="463">
        <f t="shared" ca="1" si="2"/>
        <v>99.782456849509373</v>
      </c>
      <c r="C24" s="463">
        <f t="shared" ca="1" si="3"/>
        <v>0</v>
      </c>
      <c r="D24" s="463">
        <f t="shared" si="4"/>
        <v>38.887981924000009</v>
      </c>
      <c r="E24" s="463">
        <f t="shared" si="5"/>
        <v>1.6819924359888736</v>
      </c>
      <c r="F24" s="463">
        <f t="shared" si="6"/>
        <v>541.68289958315484</v>
      </c>
      <c r="G24" s="463">
        <f t="shared" si="7"/>
        <v>0</v>
      </c>
      <c r="H24" s="463">
        <f t="shared" si="8"/>
        <v>0</v>
      </c>
      <c r="I24" s="463">
        <f t="shared" si="9"/>
        <v>0</v>
      </c>
      <c r="J24" s="463">
        <f t="shared" si="10"/>
        <v>31.304120512181523</v>
      </c>
      <c r="K24" s="463">
        <f t="shared" si="11"/>
        <v>0</v>
      </c>
      <c r="L24" s="463">
        <f t="shared" si="12"/>
        <v>0</v>
      </c>
      <c r="M24" s="463">
        <f t="shared" si="13"/>
        <v>0</v>
      </c>
      <c r="N24" s="463">
        <f t="shared" si="14"/>
        <v>0</v>
      </c>
      <c r="O24" s="463">
        <f t="shared" si="15"/>
        <v>0</v>
      </c>
      <c r="P24" s="464">
        <f t="shared" si="16"/>
        <v>0</v>
      </c>
      <c r="Q24" s="462">
        <f t="shared" ca="1" si="17"/>
        <v>713.3394513048346</v>
      </c>
    </row>
    <row r="25" spans="1:17">
      <c r="A25" s="462" t="s">
        <v>657</v>
      </c>
      <c r="B25" s="463">
        <f t="shared" ca="1" si="2"/>
        <v>2339.8540510178109</v>
      </c>
      <c r="C25" s="463">
        <f t="shared" ca="1" si="3"/>
        <v>0</v>
      </c>
      <c r="D25" s="463">
        <f t="shared" si="4"/>
        <v>1997.4918841680003</v>
      </c>
      <c r="E25" s="463">
        <f t="shared" si="5"/>
        <v>297.32658075982278</v>
      </c>
      <c r="F25" s="463">
        <f t="shared" si="6"/>
        <v>1606.7995366616585</v>
      </c>
      <c r="G25" s="463">
        <f t="shared" si="7"/>
        <v>0</v>
      </c>
      <c r="H25" s="463">
        <f t="shared" si="8"/>
        <v>0</v>
      </c>
      <c r="I25" s="463">
        <f t="shared" si="9"/>
        <v>0</v>
      </c>
      <c r="J25" s="463">
        <f t="shared" si="10"/>
        <v>11.931947113103194</v>
      </c>
      <c r="K25" s="463">
        <f t="shared" si="11"/>
        <v>0</v>
      </c>
      <c r="L25" s="463">
        <f t="shared" si="12"/>
        <v>0</v>
      </c>
      <c r="M25" s="463">
        <f t="shared" si="13"/>
        <v>0</v>
      </c>
      <c r="N25" s="463">
        <f t="shared" si="14"/>
        <v>0</v>
      </c>
      <c r="O25" s="463">
        <f t="shared" si="15"/>
        <v>0</v>
      </c>
      <c r="P25" s="464">
        <f t="shared" si="16"/>
        <v>0</v>
      </c>
      <c r="Q25" s="462">
        <f t="shared" ca="1" si="17"/>
        <v>6253.4039997203954</v>
      </c>
    </row>
    <row r="26" spans="1:17" s="468" customFormat="1">
      <c r="A26" s="466" t="s">
        <v>574</v>
      </c>
      <c r="B26" s="823">
        <f t="shared" ca="1" si="2"/>
        <v>0.50964594465095281</v>
      </c>
      <c r="C26" s="467">
        <f t="shared" ca="1" si="3"/>
        <v>0</v>
      </c>
      <c r="D26" s="467">
        <f t="shared" si="4"/>
        <v>1.1602362650655624</v>
      </c>
      <c r="E26" s="467">
        <f t="shared" si="5"/>
        <v>39.037053146510587</v>
      </c>
      <c r="F26" s="467">
        <f t="shared" si="6"/>
        <v>0</v>
      </c>
      <c r="G26" s="467">
        <f t="shared" si="7"/>
        <v>10110.084081880479</v>
      </c>
      <c r="H26" s="467">
        <f t="shared" si="8"/>
        <v>2124.9279016773594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12275.718918914066</v>
      </c>
    </row>
    <row r="27" spans="1:17">
      <c r="A27" s="462" t="s">
        <v>564</v>
      </c>
      <c r="B27" s="463">
        <f t="shared" ca="1" si="2"/>
        <v>0</v>
      </c>
      <c r="C27" s="463">
        <f t="shared" ca="1" si="3"/>
        <v>0</v>
      </c>
      <c r="D27" s="463">
        <f t="shared" si="4"/>
        <v>0</v>
      </c>
      <c r="E27" s="463">
        <f t="shared" si="5"/>
        <v>0</v>
      </c>
      <c r="F27" s="463">
        <f t="shared" si="6"/>
        <v>0</v>
      </c>
      <c r="G27" s="463">
        <f t="shared" si="7"/>
        <v>322.96833947973789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322.96833947973789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8688.9753047676368</v>
      </c>
      <c r="C31" s="473">
        <f t="shared" ca="1" si="18"/>
        <v>0</v>
      </c>
      <c r="D31" s="473">
        <f t="shared" ca="1" si="18"/>
        <v>10891.642905749066</v>
      </c>
      <c r="E31" s="473">
        <f t="shared" si="18"/>
        <v>574.44498910526943</v>
      </c>
      <c r="F31" s="473">
        <f t="shared" ca="1" si="18"/>
        <v>13836.285942500663</v>
      </c>
      <c r="G31" s="473">
        <f t="shared" si="18"/>
        <v>10433.052421360217</v>
      </c>
      <c r="H31" s="473">
        <f t="shared" si="18"/>
        <v>2124.9279016773594</v>
      </c>
      <c r="I31" s="473">
        <f t="shared" si="18"/>
        <v>0</v>
      </c>
      <c r="J31" s="473">
        <f t="shared" si="18"/>
        <v>43.236067625284718</v>
      </c>
      <c r="K31" s="473">
        <f t="shared" si="18"/>
        <v>0</v>
      </c>
      <c r="L31" s="473">
        <f t="shared" ca="1" si="18"/>
        <v>0</v>
      </c>
      <c r="M31" s="473">
        <f t="shared" si="18"/>
        <v>0</v>
      </c>
      <c r="N31" s="473">
        <f t="shared" ca="1" si="18"/>
        <v>0</v>
      </c>
      <c r="O31" s="473">
        <f t="shared" si="18"/>
        <v>0</v>
      </c>
      <c r="P31" s="474">
        <f t="shared" si="18"/>
        <v>0</v>
      </c>
      <c r="Q31" s="474">
        <f t="shared" ca="1" si="18"/>
        <v>46592.565532785498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0.16969574708083796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0.16969574708083796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0.16969574708083796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2018-06-27T09:32:42Z</dcterms:modified>
</cp:coreProperties>
</file>