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D10" i="14" s="1"/>
  <c r="L6" i="17"/>
  <c r="L5" s="1"/>
  <c r="B13" i="15"/>
  <c r="F6" i="17"/>
  <c r="F16" i="16"/>
  <c r="B8" i="9"/>
  <c r="B6" i="48" s="1"/>
  <c r="Q6" s="1"/>
  <c r="I14" i="15"/>
  <c r="I16" s="1"/>
  <c r="J10" i="14" s="1"/>
  <c r="B13" i="16"/>
  <c r="C35"/>
  <c r="E9" i="14"/>
  <c r="D14" i="15"/>
  <c r="P22" i="16"/>
  <c r="Q39" i="14" s="1"/>
  <c r="P18" i="16"/>
  <c r="L16"/>
  <c r="L18" s="1"/>
  <c r="L8" i="48" s="1"/>
  <c r="N6" i="17"/>
  <c r="N5" s="1"/>
  <c r="K22" i="14"/>
  <c r="J8" i="17"/>
  <c r="J7" i="48" s="1"/>
  <c r="J2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15"/>
  <c r="J23" s="1"/>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G14" i="22" l="1"/>
  <c r="L7" i="48"/>
  <c r="L24" s="1"/>
  <c r="H14" i="22"/>
  <c r="I19" i="14" s="1"/>
  <c r="I20" s="1"/>
  <c r="I23" s="1"/>
  <c r="E7" i="48"/>
  <c r="E24" s="1"/>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N46" s="1"/>
  <c r="N53" s="1"/>
  <c r="M9" i="48"/>
  <c r="N19" i="14"/>
  <c r="P14" i="48"/>
  <c r="F10" i="14"/>
  <c r="B8" i="4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L31" i="48" l="1"/>
  <c r="J5"/>
  <c r="J22" s="1"/>
  <c r="J20" i="15"/>
  <c r="K36" i="14" s="1"/>
  <c r="E5" i="48"/>
  <c r="E22" s="1"/>
  <c r="J9" i="18"/>
  <c r="M7"/>
  <c r="M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Q4" i="48"/>
  <c r="N22"/>
  <c r="R11" i="14"/>
  <c r="J21" i="48"/>
  <c r="R10" i="14"/>
  <c r="C17" i="19" l="1"/>
  <c r="C19" s="1"/>
  <c r="D35" i="14" s="1"/>
  <c r="C20" i="16"/>
  <c r="C22" s="1"/>
  <c r="D39" i="14" s="1"/>
  <c r="C18" i="15"/>
  <c r="C20" s="1"/>
  <c r="D36" i="14" s="1"/>
  <c r="C10" i="13"/>
  <c r="C16" i="48" s="1"/>
  <c r="C30" s="1"/>
  <c r="C16" i="22"/>
  <c r="C10" i="17"/>
  <c r="C12" s="1"/>
  <c r="D48" i="14" s="1"/>
  <c r="C56" i="22"/>
  <c r="C58" s="1"/>
  <c r="D44" i="14" s="1"/>
  <c r="D46" s="1"/>
  <c r="C17" i="49"/>
  <c r="C29" i="20"/>
  <c r="Q5" i="48"/>
  <c r="O13" i="14"/>
  <c r="O15" s="1"/>
  <c r="K13"/>
  <c r="K15" s="1"/>
  <c r="K23" s="1"/>
  <c r="N22" i="16"/>
  <c r="O39" i="14" s="1"/>
  <c r="O41" s="1"/>
  <c r="O53" s="1"/>
  <c r="F8" i="48"/>
  <c r="Q8" s="1"/>
  <c r="Q14" s="1"/>
  <c r="N25"/>
  <c r="N14"/>
  <c r="E25"/>
  <c r="E31" s="1"/>
  <c r="E14"/>
  <c r="N31"/>
  <c r="H55" i="14"/>
  <c r="E55"/>
  <c r="C78"/>
  <c r="C81" s="1"/>
  <c r="J14" i="48"/>
  <c r="J31"/>
  <c r="R19" i="14"/>
  <c r="R20" s="1"/>
  <c r="H14" i="48"/>
  <c r="G31"/>
  <c r="H26"/>
  <c r="H31" s="1"/>
  <c r="F55" i="14"/>
  <c r="G53"/>
  <c r="G55" s="1"/>
  <c r="O69" s="1"/>
  <c r="B9" i="6" s="1"/>
  <c r="B12" s="1"/>
  <c r="M53" i="14"/>
  <c r="M55" s="1"/>
  <c r="C12" i="13"/>
  <c r="D37" i="14" s="1"/>
  <c r="D41" s="1"/>
  <c r="C23" i="48"/>
  <c r="C24"/>
  <c r="C21"/>
  <c r="C26"/>
  <c r="K55" i="14"/>
  <c r="F25" i="48"/>
  <c r="F31" s="1"/>
  <c r="R13" i="14" l="1"/>
  <c r="R15" s="1"/>
  <c r="C27" i="48"/>
  <c r="C31" s="1"/>
  <c r="C28"/>
  <c r="F14"/>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<sst xmlns="http://schemas.openxmlformats.org/spreadsheetml/2006/main" count="1970" uniqueCount="846">
  <si>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</si>
  <si>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</si>
  <si>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</si>
  <si>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</si>
  <si>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</si>
  <si>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</si>
  <si>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</si>
  <si>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</si>
  <si>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</si>
  <si>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</si>
  <si>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</si>
  <si>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</si>
  <si>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</si>
  <si>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</si>
  <si>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</si>
  <si>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</si>
  <si>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</si>
  <si>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</si>
  <si>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</si>
  <si>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</si>
  <si>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</si>
  <si>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</si>
  <si>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</si>
  <si>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</si>
  <si>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</si>
  <si>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</si>
  <si>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</si>
  <si>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</si>
  <si>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</si>
  <si>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</si>
  <si>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</si>
  <si>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</si>
  <si>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</si>
  <si>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</si>
  <si>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</si>
  <si>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</si>
  <si>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</si>
  <si>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</si>
  <si>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</si>
  <si>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</si>
  <si>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</si>
  <si>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</si>
  <si>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</si>
  <si>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</si>
  <si>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</si>
  <si>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</si>
  <si>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</si>
  <si>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</si>
  <si>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</si>
  <si>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</si>
  <si>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</si>
  <si>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</si>
  <si>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</si>
  <si>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</si>
  <si>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</si>
  <si>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</si>
  <si>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</si>
  <si>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</si>
  <si>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</si>
  <si>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</si>
  <si>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</si>
  <si>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</si>
  <si>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</si>
  <si>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</si>
  <si>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</si>
  <si>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</si>
  <si>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</si>
  <si>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</si>
  <si>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</si>
  <si>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</si>
  <si>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</si>
  <si>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</si>
  <si>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</si>
  <si>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</si>
  <si>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</si>
  <si>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</si>
  <si>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</si>
  <si>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</si>
  <si>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</si>
  <si>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</si>
  <si>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</si>
  <si>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</si>
  <si>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</si>
  <si>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</si>
  <si>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</si>
  <si>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</si>
  <si>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</si>
  <si>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</si>
  <si>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</si>
  <si>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</si>
  <si>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</si>
  <si>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</si>
  <si>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</si>
  <si>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</si>
  <si>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</si>
  <si>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</si>
  <si>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</si>
  <si>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</si>
  <si>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</si>
  <si>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</si>
  <si>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</si>
  <si>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</si>
  <si>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</si>
  <si>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</si>
  <si>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</si>
  <si>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</si>
  <si>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</si>
  <si>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</si>
  <si>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</si>
  <si>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</si>
  <si>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</si>
  <si>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</si>
  <si>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</si>
  <si>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</si>
  <si>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</si>
  <si>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</si>
  <si>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</si>
  <si>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</si>
  <si>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</si>
  <si>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</si>
  <si>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</si>
  <si>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</si>
  <si>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</si>
  <si>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</si>
  <si>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</si>
  <si>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</si>
  <si>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</si>
  <si>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</si>
  <si>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</si>
  <si>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</si>
  <si>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</si>
  <si>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</si>
  <si>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</si>
  <si>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</si>
  <si>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</si>
  <si>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</si>
  <si>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</si>
  <si>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</si>
  <si>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</si>
  <si>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</si>
  <si>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</si>
  <si>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</si>
  <si>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</si>
  <si>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</si>
  <si>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</si>
  <si>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</si>
  <si>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</si>
  <si>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</si>
  <si>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</si>
  <si>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</si>
  <si>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</si>
  <si>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</si>
  <si>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</si>
  <si>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</si>
  <si>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</si>
  <si>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</si>
  <si>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</si>
  <si>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</si>
  <si>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</si>
  <si>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</si>
  <si>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</si>
  <si>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</si>
  <si>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</si>
  <si>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</si>
  <si>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</si>
  <si>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</si>
  <si>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</si>
  <si>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</si>
  <si>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</si>
  <si>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</si>
  <si>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</si>
  <si>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</si>
  <si>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</si>
  <si>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</si>
  <si>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</si>
  <si>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</si>
  <si>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</si>
  <si>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</si>
  <si>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</si>
  <si>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</si>
  <si>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</si>
  <si>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</si>
  <si>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</si>
  <si>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</si>
  <si>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</si>
  <si>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</si>
  <si>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</si>
  <si>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</si>
  <si>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</si>
  <si>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</si>
  <si>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</si>
  <si>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</si>
  <si>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</si>
  <si>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</si>
  <si>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</si>
  <si>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</si>
  <si>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</si>
  <si>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</si>
  <si>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</si>
  <si>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</si>
  <si>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</si>
  <si>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</si>
  <si>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</si>
  <si>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</si>
  <si>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</si>
  <si>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</si>
  <si>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</si>
  <si>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</si>
  <si>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</si>
  <si>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</si>
  <si>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</si>
  <si>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</si>
  <si>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</si>
  <si>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</si>
  <si>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</si>
  <si>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</si>
  <si>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</si>
  <si>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</si>
  <si>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</si>
  <si>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</si>
  <si>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</si>
  <si>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</si>
  <si>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</si>
  <si>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</si>
  <si>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</si>
  <si>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</si>
  <si>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</si>
  <si>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</si>
  <si>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</si>
  <si>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</si>
  <si>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</si>
  <si>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</si>
  <si>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</si>
  <si>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</si>
  <si>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</si>
  <si>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</si>
  <si>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</si>
  <si>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</si>
  <si>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</si>
  <si>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</si>
  <si>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</si>
  <si>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</si>
  <si>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</si>
  <si>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</si>
  <si>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</si>
  <si>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</si>
  <si>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</si>
  <si>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</si>
  <si>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</si>
  <si>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</si>
  <si>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</si>
  <si>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</si>
  <si>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</si>
  <si>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</si>
  <si>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</si>
  <si>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</si>
  <si>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</si>
  <si>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</si>
  <si>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</si>
  <si>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</si>
  <si>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</si>
  <si>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</si>
  <si>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</si>
  <si>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</si>
  <si>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</si>
  <si>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</si>
  <si>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</si>
  <si>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</si>
  <si>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</si>
  <si>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</si>
  <si>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</si>
  <si>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</si>
  <si>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</si>
  <si>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</si>
  <si>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</si>
  <si>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</si>
  <si>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</si>
  <si>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</si>
  <si>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</si>
  <si>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</si>
  <si>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</si>
  <si>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</si>
  <si>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</si>
  <si>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</si>
  <si>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</si>
  <si>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</si>
  <si>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</si>
  <si>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</si>
  <si>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</si>
  <si>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</si>
  <si>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</si>
  <si>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</si>
  <si>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</si>
  <si>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</si>
  <si>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</si>
  <si>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</si>
  <si>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</si>
  <si>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</si>
  <si>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</si>
  <si>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</si>
  <si>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</si>
  <si>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</si>
  <si>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</si>
  <si>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</si>
  <si>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</si>
  <si>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</si>
  <si>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</si>
  <si>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</si>
  <si>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</si>
  <si>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</si>
  <si>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</si>
  <si>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</si>
  <si>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</si>
  <si>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</si>
  <si>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</si>
  <si>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</si>
  <si>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</si>
  <si>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</si>
  <si>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</si>
  <si>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</si>
  <si>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</si>
  <si>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</si>
  <si>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</si>
  <si>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</si>
  <si>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</si>
  <si>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</si>
  <si>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</si>
  <si>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</si>
  <si>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</si>
  <si>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</si>
  <si>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</si>
  <si>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</si>
  <si>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</si>
  <si>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</si>
  <si>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</si>
  <si>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</si>
  <si>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</si>
  <si>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</si>
  <si>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</si>
  <si>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</si>
  <si>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</si>
  <si>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</si>
  <si>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</si>
  <si>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</si>
  <si>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</si>
  <si>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</si>
  <si>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</si>
  <si>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</si>
  <si>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</si>
  <si>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</si>
  <si>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</si>
  <si>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</si>
  <si>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</si>
  <si>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</si>
  <si>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</si>
  <si>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</si>
  <si>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</si>
  <si>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</si>
  <si>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</si>
  <si>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</si>
  <si>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</si>
  <si>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</si>
  <si>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</si>
  <si>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</si>
  <si>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</si>
  <si>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</si>
  <si>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</si>
  <si>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</si>
  <si>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</si>
  <si>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</si>
  <si>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</si>
  <si>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</si>
  <si>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</si>
  <si>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</si>
  <si>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</si>
  <si>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</si>
  <si>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</si>
  <si>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</si>
  <si>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</si>
  <si>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</si>
  <si>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</si>
  <si>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</si>
  <si>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</si>
  <si>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</si>
  <si>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</si>
  <si>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</si>
  <si>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</si>
  <si>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</si>
  <si>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</si>
  <si>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</si>
  <si>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</si>
  <si>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</si>
  <si>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</si>
  <si>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</si>
  <si>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</si>
  <si>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</si>
  <si>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</si>
  <si>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</si>
  <si>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</si>
  <si>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</si>
  <si>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</si>
  <si>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</si>
  <si>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</si>
  <si>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</si>
  <si>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</si>
  <si>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</si>
  <si>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</si>
  <si>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</si>
  <si>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</si>
  <si>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</si>
  <si>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</si>
  <si>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</si>
  <si>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</si>
  <si>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</si>
  <si>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</si>
  <si>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</si>
  <si>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</si>
  <si>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</si>
  <si>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</si>
  <si>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</si>
  <si>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</si>
  <si>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</si>
  <si>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</si>
  <si>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</si>
  <si>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</si>
  <si>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</si>
  <si>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</si>
  <si>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</si>
  <si>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</si>
  <si>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</si>
  <si>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</si>
  <si>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</si>
  <si>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</si>
  <si>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</si>
  <si>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</si>
  <si>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</si>
  <si>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</si>
  <si>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</si>
  <si>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</si>
  <si>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</si>
  <si>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</si>
  <si>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</si>
  <si>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</si>
  <si>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</si>
  <si>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</si>
  <si>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</si>
  <si>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</si>
  <si>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</si>
  <si>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</si>
  <si>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</si>
  <si>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</si>
  <si>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</si>
  <si>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</si>
  <si>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</si>
  <si>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</si>
  <si>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</si>
  <si>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</si>
  <si>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</si>
  <si>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</si>
  <si>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</si>
  <si>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</si>
  <si>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</si>
  <si>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</si>
  <si>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</si>
  <si>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</si>
  <si>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</si>
  <si>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</si>
  <si>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</si>
  <si>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</si>
  <si>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</si>
  <si>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</si>
  <si>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</si>
  <si>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</si>
  <si>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</si>
  <si>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</si>
  <si>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</si>
  <si>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</si>
  <si>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</si>
  <si>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</si>
  <si>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</si>
  <si>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</si>
  <si>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</si>
  <si>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</si>
  <si>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</si>
  <si>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</si>
  <si>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</si>
  <si>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</si>
  <si>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</si>
  <si>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</si>
  <si>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</si>
  <si>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</si>
  <si>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</si>
  <si>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</si>
  <si>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</si>
  <si>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</si>
  <si>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</si>
  <si>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</si>
  <si>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</si>
  <si>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</si>
  <si>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</si>
  <si>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</si>
  <si>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</si>
  <si>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</si>
  <si>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</si>
  <si>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</si>
  <si>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</si>
  <si>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</si>
  <si>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</si>
  <si>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</si>
  <si>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</si>
  <si>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</si>
  <si>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</si>
  <si>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</si>
  <si>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</si>
  <si>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</si>
  <si>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</si>
  <si>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</si>
  <si>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</si>
  <si>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</si>
  <si>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</si>
  <si>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</si>
  <si>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</si>
  <si>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</si>
  <si>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</si>
  <si>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</si>
  <si>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</si>
  <si>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</si>
  <si>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</si>
  <si>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</si>
  <si>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</si>
  <si>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</si>
  <si>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</si>
  <si>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</si>
  <si>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</si>
  <si>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</si>
  <si>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</si>
  <si>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</si>
  <si>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</si>
  <si>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</si>
  <si>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</si>
  <si>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</si>
  <si>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</si>
  <si>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</si>
  <si>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</si>
  <si>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</si>
  <si>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</si>
  <si>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</si>
  <si>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</si>
  <si>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</si>
  <si>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</si>
  <si>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</si>
  <si>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</si>
  <si>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</si>
  <si>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</si>
  <si>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</si>
  <si>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</si>
  <si>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</si>
  <si>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</si>
  <si>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</si>
  <si>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</si>
  <si>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</si>
  <si>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</si>
  <si>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</si>
  <si>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</si>
  <si>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</si>
  <si>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</si>
  <si>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</si>
  <si>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</si>
  <si>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</si>
  <si>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</si>
  <si>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</si>
  <si>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</si>
  <si>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</si>
  <si>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</si>
  <si>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</si>
  <si>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</si>
  <si>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</si>
  <si>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</si>
  <si>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</si>
  <si>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</si>
  <si>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</si>
  <si>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</si>
  <si>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</si>
  <si>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</si>
  <si>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</si>
  <si>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</si>
  <si>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</si>
  <si>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</si>
  <si>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</si>
  <si>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</si>
  <si>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</si>
  <si>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</si>
  <si>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</si>
  <si>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</si>
  <si>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</si>
  <si>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</si>
  <si>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</si>
  <si>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</si>
  <si>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</si>
  <si>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</si>
  <si>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</si>
  <si>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</si>
  <si>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</si>
  <si>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</si>
  <si>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</si>
  <si>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</si>
  <si>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</si>
  <si>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</si>
  <si>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</si>
  <si>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</si>
  <si>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</si>
  <si>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</si>
  <si>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</si>
  <si>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</si>
  <si>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</si>
  <si>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</si>
  <si>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</si>
  <si>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</si>
  <si>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</si>
  <si>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</si>
  <si>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</si>
  <si>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</si>
  <si>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</si>
  <si>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</si>
  <si>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</si>
  <si>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</si>
  <si>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</si>
  <si>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</si>
  <si>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</si>
  <si>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</si>
  <si>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</si>
  <si>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</si>
  <si>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</si>
  <si>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</si>
  <si>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</si>
  <si>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</si>
  <si>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</si>
  <si>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</si>
  <si>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</si>
  <si>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</si>
  <si>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</si>
  <si>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</si>
  <si>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</si>
  <si>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</si>
  <si>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</si>
  <si>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</si>
  <si>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</si>
  <si>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</si>
  <si>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</si>
  <si>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</si>
  <si>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</si>
  <si>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</si>
  <si>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</si>
  <si>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</si>
  <si>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</si>
  <si>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</si>
  <si>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</si>
  <si>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</si>
  <si>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</si>
  <si>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</si>
  <si>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</si>
  <si>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</si>
  <si>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</si>
  <si>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</si>
  <si>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</si>
  <si>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</si>
  <si>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</si>
  <si>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</si>
  <si>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</si>
  <si>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</si>
  <si>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</si>
  <si>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</si>
  <si>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</si>
  <si>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</si>
  <si>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</si>
  <si>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</si>
  <si>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</si>
  <si>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</si>
  <si>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</si>
  <si>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</si>
  <si>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</si>
  <si>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</si>
  <si>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</si>
  <si>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</si>
  <si>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</si>
  <si>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</si>
  <si>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</si>
  <si>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</si>
  <si>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</si>
  <si>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</si>
  <si>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</si>
  <si>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</si>
  <si>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</si>
  <si>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</si>
  <si>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</si>
  <si>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</si>
  <si>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</si>
  <si>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</si>
  <si>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</si>
  <si>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</si>
  <si>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</si>
  <si>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</si>
  <si>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</si>
  <si>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</si>
  <si>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</si>
  <si>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</si>
  <si>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</si>
  <si>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</si>
  <si>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</si>
  <si>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</si>
  <si>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</si>
  <si>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</si>
  <si>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</si>
  <si>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</si>
  <si>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</si>
  <si>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</si>
  <si>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</si>
  <si>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</si>
  <si>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</si>
  <si>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</si>
  <si>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</si>
  <si>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</si>
  <si>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</si>
  <si>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</si>
  <si>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</si>
  <si>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</si>
  <si>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</si>
  <si>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</si>
  <si>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</si>
  <si>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</si>
  <si>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</si>
  <si>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</si>
  <si>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</si>
  <si>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</si>
  <si>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</si>
  <si>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</si>
  <si>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</si>
  <si>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</si>
  <si>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</si>
  <si>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</si>
  <si>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</si>
  <si>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</si>
  <si>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</si>
  <si>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</si>
  <si>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</si>
  <si>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</si>
  <si>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</si>
  <si>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</si>
  <si>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</si>
  <si>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</si>
  <si>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</si>
  <si>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</si>
  <si>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</si>
  <si>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</si>
  <si>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</si>
  <si>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</si>
  <si>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</si>
  <si>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</si>
  <si>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</si>
  <si>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</si>
  <si>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</si>
  <si>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</si>
  <si>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</si>
  <si>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</si>
  <si>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</si>
  <si>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</si>
  <si>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</si>
  <si>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</si>
  <si>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</si>
  <si>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</si>
  <si>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</si>
  <si>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</si>
  <si>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</si>
  <si>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</si>
  <si>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</si>
  <si>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</si>
  <si>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</si>
  <si>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</si>
  <si>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</si>
  <si>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</si>
  <si>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</si>
  <si>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</si>
  <si>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</si>
  <si>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</si>
  <si>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</si>
  <si>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</si>
  <si>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</si>
  <si>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</si>
  <si>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</si>
  <si>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</si>
  <si>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</si>
  <si>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</si>
  <si>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</si>
  <si>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</si>
  <si>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</si>
  <si>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</si>
  <si>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</si>
  <si>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</si>
  <si>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</si>
  <si>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</si>
  <si>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</si>
  <si>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</si>
  <si>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</si>
  <si>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</si>
  <si>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</si>
  <si>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</si>
  <si>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</si>
  <si>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</si>
  <si>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</si>
  <si>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</si>
  <si>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</si>
  <si>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</si>
  <si>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</si>
  <si>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</si>
  <si>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</si>
  <si>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</si>
  <si>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</si>
  <si>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</si>
  <si>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</si>
  <si>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</si>
  <si>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</si>
  <si>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</si>
  <si>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</si>
  <si>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</si>
  <si>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</si>
  <si>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</si>
  <si>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</si>
  <si>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</si>
  <si>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</si>
  <si>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</si>
  <si>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</si>
  <si>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</si>
  <si>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</si>
  <si>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71037</t>
  </si>
  <si>
    <t>LUMMEN</t>
  </si>
  <si>
    <t>Cultuurgrond (ha)</t>
  </si>
  <si>
    <t>Paarden&amp;pony's 200 - 600 kg</t>
  </si>
  <si>
    <t>Paarden&amp;pony's &lt; 200 kg</t>
  </si>
  <si>
    <t>op basis van VEA (maart 2018) en Inventaris Hernieuwbare Energiebronnen (juni 2018)</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</si>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</sst>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149995.52027245288</c:v>
                </c:pt>
                <c:pt idx="1">
                  <c:v>46069.40759651587</c:v>
                </c:pt>
                <c:pt idx="2">
                  <c:v>1041.971</c:v>
                </c:pt>
                <c:pt idx="3">
                  <c:v>10362.367616138949</c:v>
                </c:pt>
                <c:pt idx="4">
                  <c:v>213168.5590184989</c:v>
                </c:pt>
                <c:pt idx="5">
                  <c:v>374606.72239348968</c:v>
                </c:pt>
                <c:pt idx="6">
                  <c:v>2265.5742058641567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08160"/>
        <c:axId val="182109696"/>
      </c:barChart>
      <c:catAx>
        <c:axId val="182108160"/>
        <c:scaling>
          <c:orientation val="minMax"/>
        </c:scaling>
        <c:axPos val="b"/>
        <c:numFmt formatCode="General" sourceLinked="0"/>
        <c:tickLblPos val="nextTo"/>
        <c:crossAx val="182109696"/>
        <c:crosses val="autoZero"/>
        <c:auto val="1"/>
        <c:lblAlgn val="ctr"/>
        <c:lblOffset val="100"/>
      </c:catAx>
      <c:valAx>
        <c:axId val="182109696"/>
        <c:scaling>
          <c:orientation val="minMax"/>
        </c:scaling>
        <c:axPos val="l"/>
        <c:majorGridlines/>
        <c:numFmt formatCode="#,##0" sourceLinked="1"/>
        <c:tickLblPos val="nextTo"/>
        <c:crossAx val="1821081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149995.52027245288</c:v>
                </c:pt>
                <c:pt idx="1">
                  <c:v>46069.40759651587</c:v>
                </c:pt>
                <c:pt idx="2">
                  <c:v>1041.971</c:v>
                </c:pt>
                <c:pt idx="3">
                  <c:v>10362.367616138949</c:v>
                </c:pt>
                <c:pt idx="4">
                  <c:v>213168.5590184989</c:v>
                </c:pt>
                <c:pt idx="5">
                  <c:v>374606.72239348968</c:v>
                </c:pt>
                <c:pt idx="6">
                  <c:v>2265.5742058641567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30334.803913381133</c:v>
                </c:pt>
                <c:pt idx="1">
                  <c:v>8544.4153621015248</c:v>
                </c:pt>
                <c:pt idx="2">
                  <c:v>204.24407441556073</c:v>
                </c:pt>
                <c:pt idx="3">
                  <c:v>2425.615118160099</c:v>
                </c:pt>
                <c:pt idx="4">
                  <c:v>44167.434819246249</c:v>
                </c:pt>
                <c:pt idx="5">
                  <c:v>94775.464628433954</c:v>
                </c:pt>
                <c:pt idx="6">
                  <c:v>579.15200667166232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0336"/>
        <c:axId val="182436224"/>
      </c:barChart>
      <c:catAx>
        <c:axId val="182430336"/>
        <c:scaling>
          <c:orientation val="minMax"/>
        </c:scaling>
        <c:axPos val="b"/>
        <c:numFmt formatCode="General" sourceLinked="0"/>
        <c:tickLblPos val="nextTo"/>
        <c:crossAx val="182436224"/>
        <c:crosses val="autoZero"/>
        <c:auto val="1"/>
        <c:lblAlgn val="ctr"/>
        <c:lblOffset val="100"/>
      </c:catAx>
      <c:valAx>
        <c:axId val="182436224"/>
        <c:scaling>
          <c:orientation val="minMax"/>
        </c:scaling>
        <c:axPos val="l"/>
        <c:majorGridlines/>
        <c:numFmt formatCode="#,##0" sourceLinked="1"/>
        <c:tickLblPos val="nextTo"/>
        <c:crossAx val="182430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30334.803913381133</c:v>
                </c:pt>
                <c:pt idx="1">
                  <c:v>8544.4153621015248</c:v>
                </c:pt>
                <c:pt idx="2">
                  <c:v>204.24407441556073</c:v>
                </c:pt>
                <c:pt idx="3">
                  <c:v>2425.615118160099</c:v>
                </c:pt>
                <c:pt idx="4">
                  <c:v>44167.434819246249</c:v>
                </c:pt>
                <c:pt idx="5">
                  <c:v>94775.464628433954</c:v>
                </c:pt>
                <c:pt idx="6">
                  <c:v>579.15200667166232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71037</v>
      </c>
      <c r="B6" s="398"/>
      <c r="C6" s="399"/>
    </row>
    <row r="7" spans="1:7" s="396" customFormat="1" ht="15.75" customHeight="1">
      <c r="A7" s="400" t="str">
        <f>txtMunicipality</f>
        <v>LUMMEN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71037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5839</v>
      </c>
      <c r="C9" s="338">
        <v>6211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1694</v>
      </c>
    </row>
    <row r="15" spans="1:6">
      <c r="A15" s="1212" t="s">
        <v>184</v>
      </c>
      <c r="B15" s="335">
        <v>702</v>
      </c>
    </row>
    <row r="16" spans="1:6">
      <c r="A16" s="1212" t="s">
        <v>6</v>
      </c>
      <c r="B16" s="335">
        <v>533</v>
      </c>
    </row>
    <row r="17" spans="1:6">
      <c r="A17" s="1212" t="s">
        <v>7</v>
      </c>
      <c r="B17" s="335">
        <v>220</v>
      </c>
    </row>
    <row r="18" spans="1:6">
      <c r="A18" s="1212" t="s">
        <v>8</v>
      </c>
      <c r="B18" s="335">
        <v>436</v>
      </c>
    </row>
    <row r="19" spans="1:6">
      <c r="A19" s="1212" t="s">
        <v>9</v>
      </c>
      <c r="B19" s="335">
        <v>378</v>
      </c>
    </row>
    <row r="20" spans="1:6">
      <c r="A20" s="1212" t="s">
        <v>10</v>
      </c>
      <c r="B20" s="335">
        <v>287</v>
      </c>
    </row>
    <row r="21" spans="1:6">
      <c r="A21" s="1212" t="s">
        <v>11</v>
      </c>
      <c r="B21" s="335">
        <v>4936</v>
      </c>
    </row>
    <row r="22" spans="1:6">
      <c r="A22" s="1212" t="s">
        <v>12</v>
      </c>
      <c r="B22" s="335">
        <v>12340</v>
      </c>
    </row>
    <row r="23" spans="1:6">
      <c r="A23" s="1212" t="s">
        <v>13</v>
      </c>
      <c r="B23" s="335">
        <v>350</v>
      </c>
    </row>
    <row r="24" spans="1:6">
      <c r="A24" s="1212" t="s">
        <v>14</v>
      </c>
      <c r="B24" s="335">
        <v>43</v>
      </c>
    </row>
    <row r="25" spans="1:6">
      <c r="A25" s="1212" t="s">
        <v>15</v>
      </c>
      <c r="B25" s="335">
        <v>1607</v>
      </c>
    </row>
    <row r="26" spans="1:6">
      <c r="A26" s="1212" t="s">
        <v>16</v>
      </c>
      <c r="B26" s="335">
        <v>371</v>
      </c>
    </row>
    <row r="27" spans="1:6">
      <c r="A27" s="1212" t="s">
        <v>17</v>
      </c>
      <c r="B27" s="335">
        <v>330</v>
      </c>
    </row>
    <row r="28" spans="1:6" s="341" customFormat="1">
      <c r="A28" s="1213" t="s">
        <v>18</v>
      </c>
      <c r="B28" s="1213">
        <v>125</v>
      </c>
    </row>
    <row r="29" spans="1:6">
      <c r="A29" s="1213" t="s">
        <v>836</v>
      </c>
      <c r="B29" s="1213">
        <v>159</v>
      </c>
      <c r="C29" s="341"/>
      <c r="D29" s="341"/>
      <c r="E29" s="341"/>
      <c r="F29" s="341"/>
    </row>
    <row r="30" spans="1:6">
      <c r="A30" s="1208" t="s">
        <v>837</v>
      </c>
      <c r="B30" s="1208">
        <v>27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22433</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2037</v>
      </c>
      <c r="D39" s="335">
        <v>34525736</v>
      </c>
      <c r="E39" s="335">
        <v>5870</v>
      </c>
      <c r="F39" s="335">
        <v>23613322</v>
      </c>
    </row>
    <row r="40" spans="1:6">
      <c r="A40" s="1212" t="s">
        <v>30</v>
      </c>
      <c r="B40" s="1212" t="s">
        <v>29</v>
      </c>
      <c r="C40" s="335">
        <v>0</v>
      </c>
      <c r="D40" s="335">
        <v>0</v>
      </c>
      <c r="E40" s="335">
        <v>0</v>
      </c>
      <c r="F40" s="335">
        <v>0</v>
      </c>
    </row>
    <row r="41" spans="1:6">
      <c r="A41" s="1212" t="s">
        <v>32</v>
      </c>
      <c r="B41" s="1212" t="s">
        <v>33</v>
      </c>
      <c r="C41" s="335">
        <v>34</v>
      </c>
      <c r="D41" s="335">
        <v>1289555</v>
      </c>
      <c r="E41" s="335">
        <v>118</v>
      </c>
      <c r="F41" s="335">
        <v>2720868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13</v>
      </c>
      <c r="D44" s="335">
        <v>25857266</v>
      </c>
      <c r="E44" s="335">
        <v>23</v>
      </c>
      <c r="F44" s="335">
        <v>15092205</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4</v>
      </c>
      <c r="F47" s="335">
        <v>61035</v>
      </c>
    </row>
    <row r="48" spans="1:6">
      <c r="A48" s="1212" t="s">
        <v>32</v>
      </c>
      <c r="B48" s="1212" t="s">
        <v>29</v>
      </c>
      <c r="C48" s="335">
        <v>5</v>
      </c>
      <c r="D48" s="335">
        <v>926366</v>
      </c>
      <c r="E48" s="335">
        <v>7</v>
      </c>
      <c r="F48" s="335">
        <v>840235</v>
      </c>
    </row>
    <row r="49" spans="1:6">
      <c r="A49" s="1212" t="s">
        <v>32</v>
      </c>
      <c r="B49" s="1212" t="s">
        <v>40</v>
      </c>
      <c r="C49" s="335">
        <v>0</v>
      </c>
      <c r="D49" s="335">
        <v>0</v>
      </c>
      <c r="E49" s="335">
        <v>0</v>
      </c>
      <c r="F49" s="335">
        <v>0</v>
      </c>
    </row>
    <row r="50" spans="1:6">
      <c r="A50" s="1212" t="s">
        <v>32</v>
      </c>
      <c r="B50" s="1212" t="s">
        <v>41</v>
      </c>
      <c r="C50" s="335">
        <v>8</v>
      </c>
      <c r="D50" s="335">
        <v>71308860</v>
      </c>
      <c r="E50" s="335">
        <v>16</v>
      </c>
      <c r="F50" s="335">
        <v>33530612</v>
      </c>
    </row>
    <row r="51" spans="1:6">
      <c r="A51" s="1212" t="s">
        <v>42</v>
      </c>
      <c r="B51" s="1212" t="s">
        <v>43</v>
      </c>
      <c r="C51" s="335">
        <v>5</v>
      </c>
      <c r="D51" s="335">
        <v>4447088</v>
      </c>
      <c r="E51" s="335">
        <v>52</v>
      </c>
      <c r="F51" s="335">
        <v>1376710</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77</v>
      </c>
      <c r="F54" s="335">
        <v>1041971</v>
      </c>
    </row>
    <row r="55" spans="1:6">
      <c r="A55" s="1212" t="s">
        <v>46</v>
      </c>
      <c r="B55" s="1212" t="s">
        <v>29</v>
      </c>
      <c r="C55" s="335">
        <v>0</v>
      </c>
      <c r="D55" s="335">
        <v>0</v>
      </c>
      <c r="E55" s="335">
        <v>0</v>
      </c>
      <c r="F55" s="335">
        <v>0</v>
      </c>
    </row>
    <row r="56" spans="1:6">
      <c r="A56" s="1212" t="s">
        <v>48</v>
      </c>
      <c r="B56" s="1212" t="s">
        <v>29</v>
      </c>
      <c r="C56" s="335">
        <v>55</v>
      </c>
      <c r="D56" s="335">
        <v>5381299</v>
      </c>
      <c r="E56" s="335">
        <v>105</v>
      </c>
      <c r="F56" s="335">
        <v>1059915</v>
      </c>
    </row>
    <row r="57" spans="1:6">
      <c r="A57" s="1212" t="s">
        <v>49</v>
      </c>
      <c r="B57" s="1212" t="s">
        <v>50</v>
      </c>
      <c r="C57" s="335">
        <v>18</v>
      </c>
      <c r="D57" s="335">
        <v>533540</v>
      </c>
      <c r="E57" s="335">
        <v>88</v>
      </c>
      <c r="F57" s="335">
        <v>1377003</v>
      </c>
    </row>
    <row r="58" spans="1:6">
      <c r="A58" s="1212" t="s">
        <v>49</v>
      </c>
      <c r="B58" s="1212" t="s">
        <v>51</v>
      </c>
      <c r="C58" s="335">
        <v>12</v>
      </c>
      <c r="D58" s="335">
        <v>3796669</v>
      </c>
      <c r="E58" s="335">
        <v>32</v>
      </c>
      <c r="F58" s="335">
        <v>1378118</v>
      </c>
    </row>
    <row r="59" spans="1:6">
      <c r="A59" s="1212" t="s">
        <v>49</v>
      </c>
      <c r="B59" s="1212" t="s">
        <v>52</v>
      </c>
      <c r="C59" s="335">
        <v>45</v>
      </c>
      <c r="D59" s="335">
        <v>3773789</v>
      </c>
      <c r="E59" s="335">
        <v>153</v>
      </c>
      <c r="F59" s="335">
        <v>5250092</v>
      </c>
    </row>
    <row r="60" spans="1:6">
      <c r="A60" s="1212" t="s">
        <v>49</v>
      </c>
      <c r="B60" s="1212" t="s">
        <v>53</v>
      </c>
      <c r="C60" s="335">
        <v>12</v>
      </c>
      <c r="D60" s="335">
        <v>507889</v>
      </c>
      <c r="E60" s="335">
        <v>39</v>
      </c>
      <c r="F60" s="335">
        <v>1266669</v>
      </c>
    </row>
    <row r="61" spans="1:6">
      <c r="A61" s="1212" t="s">
        <v>49</v>
      </c>
      <c r="B61" s="1212" t="s">
        <v>54</v>
      </c>
      <c r="C61" s="335">
        <v>54</v>
      </c>
      <c r="D61" s="335">
        <v>8033709</v>
      </c>
      <c r="E61" s="335">
        <v>263</v>
      </c>
      <c r="F61" s="335">
        <v>10784016</v>
      </c>
    </row>
    <row r="62" spans="1:6">
      <c r="A62" s="1212" t="s">
        <v>49</v>
      </c>
      <c r="B62" s="1212" t="s">
        <v>55</v>
      </c>
      <c r="C62" s="335">
        <v>3</v>
      </c>
      <c r="D62" s="335">
        <v>520382</v>
      </c>
      <c r="E62" s="335">
        <v>14</v>
      </c>
      <c r="F62" s="335">
        <v>218352</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5</v>
      </c>
      <c r="F68" s="335">
        <v>20266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56891811</v>
      </c>
      <c r="E73" s="335">
        <v>59385155.887356147</v>
      </c>
    </row>
    <row r="74" spans="1:6">
      <c r="A74" s="1212" t="s">
        <v>64</v>
      </c>
      <c r="B74" s="1212" t="s">
        <v>727</v>
      </c>
      <c r="C74" s="1212" t="s">
        <v>728</v>
      </c>
      <c r="D74" s="335">
        <v>653204.15575651359</v>
      </c>
      <c r="E74" s="335">
        <v>732747.49463675381</v>
      </c>
    </row>
    <row r="75" spans="1:6">
      <c r="A75" s="1212" t="s">
        <v>65</v>
      </c>
      <c r="B75" s="1212" t="s">
        <v>725</v>
      </c>
      <c r="C75" s="1212" t="s">
        <v>729</v>
      </c>
      <c r="D75" s="335">
        <v>32267067</v>
      </c>
      <c r="E75" s="335">
        <v>33570641.340105653</v>
      </c>
    </row>
    <row r="76" spans="1:6">
      <c r="A76" s="1212" t="s">
        <v>65</v>
      </c>
      <c r="B76" s="1212" t="s">
        <v>727</v>
      </c>
      <c r="C76" s="1212" t="s">
        <v>730</v>
      </c>
      <c r="D76" s="335">
        <v>57591.155756513588</v>
      </c>
      <c r="E76" s="335">
        <v>86378.482676494517</v>
      </c>
    </row>
    <row r="77" spans="1:6">
      <c r="A77" s="1212" t="s">
        <v>66</v>
      </c>
      <c r="B77" s="1212" t="s">
        <v>725</v>
      </c>
      <c r="C77" s="1212" t="s">
        <v>731</v>
      </c>
      <c r="D77" s="335">
        <v>296795921</v>
      </c>
      <c r="E77" s="335">
        <v>343280090.26764292</v>
      </c>
    </row>
    <row r="78" spans="1:6">
      <c r="A78" s="1208" t="s">
        <v>66</v>
      </c>
      <c r="B78" s="1208" t="s">
        <v>727</v>
      </c>
      <c r="C78" s="1208" t="s">
        <v>732</v>
      </c>
      <c r="D78" s="1208">
        <v>41836034</v>
      </c>
      <c r="E78" s="1208">
        <v>49137756.466478124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598537.68848697282</v>
      </c>
      <c r="C83" s="335">
        <v>574677.71345497028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4774.1038309651449</v>
      </c>
    </row>
    <row r="92" spans="1:6">
      <c r="A92" s="1208" t="s">
        <v>69</v>
      </c>
      <c r="B92" s="338">
        <v>4970.9455046568346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483</v>
      </c>
    </row>
    <row r="98" spans="1:6">
      <c r="A98" s="1212" t="s">
        <v>72</v>
      </c>
      <c r="B98" s="335">
        <v>1</v>
      </c>
    </row>
    <row r="99" spans="1:6">
      <c r="A99" s="1212" t="s">
        <v>73</v>
      </c>
      <c r="B99" s="335">
        <v>32</v>
      </c>
    </row>
    <row r="100" spans="1:6">
      <c r="A100" s="1212" t="s">
        <v>74</v>
      </c>
      <c r="B100" s="335">
        <v>203</v>
      </c>
    </row>
    <row r="101" spans="1:6">
      <c r="A101" s="1212" t="s">
        <v>75</v>
      </c>
      <c r="B101" s="335">
        <v>70</v>
      </c>
    </row>
    <row r="102" spans="1:6">
      <c r="A102" s="1212" t="s">
        <v>76</v>
      </c>
      <c r="B102" s="335">
        <v>48</v>
      </c>
    </row>
    <row r="103" spans="1:6">
      <c r="A103" s="1212" t="s">
        <v>77</v>
      </c>
      <c r="B103" s="335">
        <v>81</v>
      </c>
    </row>
    <row r="104" spans="1:6">
      <c r="A104" s="1212" t="s">
        <v>78</v>
      </c>
      <c r="B104" s="335">
        <v>4055</v>
      </c>
    </row>
    <row r="105" spans="1:6">
      <c r="A105" s="1208" t="s">
        <v>79</v>
      </c>
      <c r="B105" s="1208">
        <v>10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26</v>
      </c>
      <c r="C123" s="335">
        <v>26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166</v>
      </c>
    </row>
    <row r="130" spans="1:6">
      <c r="A130" s="1212" t="s">
        <v>295</v>
      </c>
      <c r="B130" s="335">
        <v>1</v>
      </c>
    </row>
    <row r="131" spans="1:6">
      <c r="A131" s="1212" t="s">
        <v>296</v>
      </c>
      <c r="B131" s="335">
        <v>1</v>
      </c>
    </row>
    <row r="132" spans="1:6">
      <c r="A132" s="1208" t="s">
        <v>297</v>
      </c>
      <c r="B132" s="338">
        <v>22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106991.3864859657</v>
      </c>
      <c r="C3" s="43" t="s">
        <v>170</v>
      </c>
      <c r="D3" s="43"/>
      <c r="E3" s="156"/>
      <c r="F3" s="43"/>
      <c r="G3" s="43"/>
      <c r="H3" s="43"/>
      <c r="I3" s="43"/>
      <c r="J3" s="43"/>
      <c r="K3" s="96"/>
    </row>
    <row r="4" spans="1:11">
      <c r="A4" s="366" t="s">
        <v>171</v>
      </c>
      <c r="B4" s="49">
        <f>IF(ISERROR('SEAP template'!B69),0,'SEAP template'!B69)</f>
        <v>13390.049335621979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286.23970588235295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0.19601704309962631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322.01966911764708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4100.6250000000009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7.8529411764705875E-2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1041.971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1041.971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0.19601704309962631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204.24407441556073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23613.322</v>
      </c>
      <c r="C5" s="17">
        <f>IF(ISERROR('Eigen informatie GS &amp; warmtenet'!B57),0,'Eigen informatie GS &amp; warmtenet'!B57)</f>
        <v>0</v>
      </c>
      <c r="D5" s="30">
        <f>(SUM(HH_hh_gas_kWh,HH_rest_gas_kWh)/1000)*0.902</f>
        <v>31142.213871999997</v>
      </c>
      <c r="E5" s="17">
        <f>B46*B57</f>
        <v>2399.6289070411508</v>
      </c>
      <c r="F5" s="17">
        <f>B51*B62</f>
        <v>67172.066205030147</v>
      </c>
      <c r="G5" s="18"/>
      <c r="H5" s="17"/>
      <c r="I5" s="17"/>
      <c r="J5" s="17">
        <f>B50*B61+C50*C61</f>
        <v>0</v>
      </c>
      <c r="K5" s="17"/>
      <c r="L5" s="17"/>
      <c r="M5" s="17"/>
      <c r="N5" s="17">
        <f>B48*B59+C48*C59</f>
        <v>19678.825457416431</v>
      </c>
      <c r="O5" s="17">
        <f>B69*B70*B71</f>
        <v>300.16000000000003</v>
      </c>
      <c r="P5" s="17">
        <f>B77*B78*B79/1000-B77*B78*B79/1000/B80</f>
        <v>915.2</v>
      </c>
    </row>
    <row r="6" spans="1:16">
      <c r="A6" s="16" t="s">
        <v>634</v>
      </c>
      <c r="B6" s="831">
        <f>kWh_PV_kleiner_dan_10kW</f>
        <v>4774.1038309651449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28387.425830965145</v>
      </c>
      <c r="C8" s="21">
        <f>C5</f>
        <v>0</v>
      </c>
      <c r="D8" s="21">
        <f>D5</f>
        <v>31142.213871999997</v>
      </c>
      <c r="E8" s="21">
        <f>E5</f>
        <v>2399.6289070411508</v>
      </c>
      <c r="F8" s="21">
        <f>F5</f>
        <v>67172.066205030147</v>
      </c>
      <c r="G8" s="21"/>
      <c r="H8" s="21"/>
      <c r="I8" s="21"/>
      <c r="J8" s="21">
        <f>J5</f>
        <v>0</v>
      </c>
      <c r="K8" s="21"/>
      <c r="L8" s="21">
        <f>L5</f>
        <v>0</v>
      </c>
      <c r="M8" s="21">
        <f>M5</f>
        <v>0</v>
      </c>
      <c r="N8" s="21">
        <f>N5</f>
        <v>19678.825457416431</v>
      </c>
      <c r="O8" s="21">
        <f>O5</f>
        <v>300.16000000000003</v>
      </c>
      <c r="P8" s="21">
        <f>P5</f>
        <v>915.2</v>
      </c>
    </row>
    <row r="9" spans="1:16">
      <c r="B9" s="19"/>
      <c r="C9" s="19"/>
      <c r="D9" s="261"/>
      <c r="E9" s="19"/>
      <c r="F9" s="19"/>
      <c r="G9" s="19"/>
      <c r="H9" s="19"/>
      <c r="I9" s="19"/>
      <c r="J9" s="19"/>
      <c r="K9" s="19"/>
      <c r="L9" s="19"/>
      <c r="M9" s="19"/>
      <c r="N9" s="19"/>
      <c r="O9" s="19"/>
      <c r="P9" s="19"/>
    </row>
    <row r="10" spans="1:16">
      <c r="A10" s="24" t="s">
        <v>214</v>
      </c>
      <c r="B10" s="25">
        <f ca="1">'EF ele_warmte'!B12</f>
        <v>0.19601704309962631</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5564.41927259574</v>
      </c>
      <c r="C12" s="23">
        <f ca="1">C10*C8</f>
        <v>0</v>
      </c>
      <c r="D12" s="23">
        <f>D8*D10</f>
        <v>6290.7272021439994</v>
      </c>
      <c r="E12" s="23">
        <f>E10*E8</f>
        <v>544.71576189834127</v>
      </c>
      <c r="F12" s="23">
        <f>F10*F8</f>
        <v>17934.941676743052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483</v>
      </c>
      <c r="C18" s="168" t="s">
        <v>111</v>
      </c>
      <c r="D18" s="230"/>
      <c r="E18" s="15"/>
    </row>
    <row r="19" spans="1:7">
      <c r="A19" s="173" t="s">
        <v>72</v>
      </c>
      <c r="B19" s="37">
        <f>aantalw2001_ander</f>
        <v>1</v>
      </c>
      <c r="C19" s="168" t="s">
        <v>111</v>
      </c>
      <c r="D19" s="231"/>
      <c r="E19" s="15"/>
    </row>
    <row r="20" spans="1:7">
      <c r="A20" s="173" t="s">
        <v>73</v>
      </c>
      <c r="B20" s="37">
        <f>aantalw2001_propaan</f>
        <v>32</v>
      </c>
      <c r="C20" s="169">
        <f>IF(ISERROR(B20/SUM($B$20,$B$21,$B$22)*100),0,B20/SUM($B$20,$B$21,$B$22)*100)</f>
        <v>10.491803278688524</v>
      </c>
      <c r="D20" s="231"/>
      <c r="E20" s="15"/>
    </row>
    <row r="21" spans="1:7">
      <c r="A21" s="173" t="s">
        <v>74</v>
      </c>
      <c r="B21" s="37">
        <f>aantalw2001_elektriciteit</f>
        <v>203</v>
      </c>
      <c r="C21" s="169">
        <f>IF(ISERROR(B21/SUM($B$20,$B$21,$B$22)*100),0,B21/SUM($B$20,$B$21,$B$22)*100)</f>
        <v>66.557377049180332</v>
      </c>
      <c r="D21" s="231"/>
      <c r="E21" s="15"/>
    </row>
    <row r="22" spans="1:7">
      <c r="A22" s="173" t="s">
        <v>75</v>
      </c>
      <c r="B22" s="37">
        <f>aantalw2001_hout</f>
        <v>70</v>
      </c>
      <c r="C22" s="169">
        <f>IF(ISERROR(B22/SUM($B$20,$B$21,$B$22)*100),0,B22/SUM($B$20,$B$21,$B$22)*100)</f>
        <v>22.950819672131146</v>
      </c>
      <c r="D22" s="231"/>
      <c r="E22" s="15"/>
    </row>
    <row r="23" spans="1:7">
      <c r="A23" s="173" t="s">
        <v>76</v>
      </c>
      <c r="B23" s="37">
        <f>aantalw2001_niet_gespec</f>
        <v>48</v>
      </c>
      <c r="C23" s="168" t="s">
        <v>111</v>
      </c>
      <c r="D23" s="230"/>
      <c r="E23" s="15"/>
    </row>
    <row r="24" spans="1:7">
      <c r="A24" s="173" t="s">
        <v>77</v>
      </c>
      <c r="B24" s="37">
        <f>aantalw2001_steenkool</f>
        <v>81</v>
      </c>
      <c r="C24" s="168" t="s">
        <v>111</v>
      </c>
      <c r="D24" s="231"/>
      <c r="E24" s="15"/>
    </row>
    <row r="25" spans="1:7">
      <c r="A25" s="173" t="s">
        <v>78</v>
      </c>
      <c r="B25" s="37">
        <f>aantalw2001_stookolie</f>
        <v>4055</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5839</v>
      </c>
      <c r="C28" s="36"/>
      <c r="D28" s="230"/>
    </row>
    <row r="29" spans="1:7" s="15" customFormat="1">
      <c r="A29" s="232" t="s">
        <v>746</v>
      </c>
      <c r="B29" s="37">
        <f>SUM(HH_hh_gas_aantal,HH_rest_gas_aantal)</f>
        <v>2037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2037</v>
      </c>
      <c r="C32" s="169">
        <f>IF(ISERROR(B32/SUM($B$32,$B$34,$B$35,$B$36,$B$38,$B$39)*100),0,B32/SUM($B$32,$B$34,$B$35,$B$36,$B$38,$B$39)*100)</f>
        <v>35.175271973752373</v>
      </c>
      <c r="D32" s="235"/>
      <c r="G32" s="15"/>
    </row>
    <row r="33" spans="1:7">
      <c r="A33" s="173" t="s">
        <v>72</v>
      </c>
      <c r="B33" s="34" t="s">
        <v>111</v>
      </c>
      <c r="C33" s="169"/>
      <c r="D33" s="235"/>
      <c r="G33" s="15"/>
    </row>
    <row r="34" spans="1:7">
      <c r="A34" s="173" t="s">
        <v>73</v>
      </c>
      <c r="B34" s="33">
        <f>IF((($B$28-$B$32-$B$39-$B$77-$B$38)*C20/100)&lt;0,0,($B$28-$B$32-$B$39-$B$77-$B$38)*C20/100)</f>
        <v>115.15803278688527</v>
      </c>
      <c r="C34" s="169">
        <f>IF(ISERROR(B34/SUM($B$32,$B$34,$B$35,$B$36,$B$38,$B$39)*100),0,B34/SUM($B$32,$B$34,$B$35,$B$36,$B$38,$B$39)*100)</f>
        <v>1.9885690344825637</v>
      </c>
      <c r="D34" s="235"/>
      <c r="G34" s="15"/>
    </row>
    <row r="35" spans="1:7">
      <c r="A35" s="173" t="s">
        <v>74</v>
      </c>
      <c r="B35" s="33">
        <f>IF((($B$28-$B$32-$B$39-$B$77-$B$38)*C21/100)&lt;0,0,($B$28-$B$32-$B$39-$B$77-$B$38)*C21/100)</f>
        <v>730.53377049180358</v>
      </c>
      <c r="C35" s="169">
        <f>IF(ISERROR(B35/SUM($B$32,$B$34,$B$35,$B$36,$B$38,$B$39)*100),0,B35/SUM($B$32,$B$34,$B$35,$B$36,$B$38,$B$39)*100)</f>
        <v>12.614984812498767</v>
      </c>
      <c r="D35" s="235"/>
      <c r="G35" s="15"/>
    </row>
    <row r="36" spans="1:7">
      <c r="A36" s="173" t="s">
        <v>75</v>
      </c>
      <c r="B36" s="33">
        <f>IF((($B$28-$B$32-$B$39-$B$77-$B$38)*C22/100)&lt;0,0,($B$28-$B$32-$B$39-$B$77-$B$38)*C22/100)</f>
        <v>251.90819672131155</v>
      </c>
      <c r="C36" s="169">
        <f>IF(ISERROR(B36/SUM($B$32,$B$34,$B$35,$B$36,$B$38,$B$39)*100),0,B36/SUM($B$32,$B$34,$B$35,$B$36,$B$38,$B$39)*100)</f>
        <v>4.349994762930609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2656.3999999999996</v>
      </c>
      <c r="C39" s="169">
        <f>IF(ISERROR(B39/SUM($B$32,$B$34,$B$35,$B$36,$B$38,$B$39)*100),0,B39/SUM($B$32,$B$34,$B$35,$B$36,$B$38,$B$39)*100)</f>
        <v>45.871179416335686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2037</v>
      </c>
      <c r="C44" s="34" t="s">
        <v>111</v>
      </c>
      <c r="D44" s="176"/>
    </row>
    <row r="45" spans="1:7">
      <c r="A45" s="173" t="s">
        <v>72</v>
      </c>
      <c r="B45" s="33" t="str">
        <f t="shared" si="0"/>
        <v>-</v>
      </c>
      <c r="C45" s="34" t="s">
        <v>111</v>
      </c>
      <c r="D45" s="176"/>
    </row>
    <row r="46" spans="1:7">
      <c r="A46" s="173" t="s">
        <v>73</v>
      </c>
      <c r="B46" s="33">
        <f t="shared" si="0"/>
        <v>115.15803278688527</v>
      </c>
      <c r="C46" s="34" t="s">
        <v>111</v>
      </c>
      <c r="D46" s="176"/>
    </row>
    <row r="47" spans="1:7">
      <c r="A47" s="173" t="s">
        <v>74</v>
      </c>
      <c r="B47" s="33">
        <f t="shared" si="0"/>
        <v>730.53377049180358</v>
      </c>
      <c r="C47" s="34" t="s">
        <v>111</v>
      </c>
      <c r="D47" s="176"/>
    </row>
    <row r="48" spans="1:7">
      <c r="A48" s="173" t="s">
        <v>75</v>
      </c>
      <c r="B48" s="33">
        <f t="shared" si="0"/>
        <v>251.90819672131155</v>
      </c>
      <c r="C48" s="33">
        <f>B48*10</f>
        <v>2519.0819672131156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2656.3999999999996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20274.249999999996</v>
      </c>
      <c r="C5" s="17">
        <f>IF(ISERROR('Eigen informatie GS &amp; warmtenet'!B58),0,'Eigen informatie GS &amp; warmtenet'!B58)</f>
        <v>0</v>
      </c>
      <c r="D5" s="30">
        <f>SUM(D6:D12)</f>
        <v>15483.712156000001</v>
      </c>
      <c r="E5" s="17">
        <f>SUM(E6:E12)</f>
        <v>196.92899095427802</v>
      </c>
      <c r="F5" s="17">
        <f>SUM(F6:F12)</f>
        <v>3631.6916605412766</v>
      </c>
      <c r="G5" s="18"/>
      <c r="H5" s="17"/>
      <c r="I5" s="17"/>
      <c r="J5" s="17">
        <f>SUM(J6:J12)</f>
        <v>0</v>
      </c>
      <c r="K5" s="17"/>
      <c r="L5" s="17"/>
      <c r="M5" s="17"/>
      <c r="N5" s="17">
        <f>SUM(N6:N12)</f>
        <v>994.69478902032029</v>
      </c>
      <c r="O5" s="17">
        <f>B38*B39*B40</f>
        <v>1.5633333333333335</v>
      </c>
      <c r="P5" s="17">
        <f>B46*B47*B48/1000-B46*B47*B48/1000/B49</f>
        <v>19.066666666666666</v>
      </c>
      <c r="R5" s="32"/>
    </row>
    <row r="6" spans="1:18">
      <c r="A6" s="32" t="s">
        <v>54</v>
      </c>
      <c r="B6" s="37">
        <f>B26</f>
        <v>10784.016</v>
      </c>
      <c r="C6" s="33"/>
      <c r="D6" s="37">
        <f>IF(ISERROR(TER_kantoor_gas_kWh/1000),0,TER_kantoor_gas_kWh/1000)*0.902</f>
        <v>7246.4055180000005</v>
      </c>
      <c r="E6" s="33">
        <f>$C$26*'E Balans VL '!I12/100/3.6*1000000</f>
        <v>41.898185269212192</v>
      </c>
      <c r="F6" s="33">
        <f>$C$26*('E Balans VL '!L12+'E Balans VL '!N12)/100/3.6*1000000</f>
        <v>1640.150706877741</v>
      </c>
      <c r="G6" s="34"/>
      <c r="H6" s="33"/>
      <c r="I6" s="33"/>
      <c r="J6" s="33">
        <f>$C$26*('E Balans VL '!D12+'E Balans VL '!E12)/100/3.6*1000000</f>
        <v>0</v>
      </c>
      <c r="K6" s="33"/>
      <c r="L6" s="33"/>
      <c r="M6" s="33"/>
      <c r="N6" s="33">
        <f>$C$26*'E Balans VL '!Y12/100/3.6*1000000</f>
        <v>5.9432847093014169</v>
      </c>
      <c r="O6" s="33"/>
      <c r="P6" s="33"/>
      <c r="R6" s="32"/>
    </row>
    <row r="7" spans="1:18">
      <c r="A7" s="32" t="s">
        <v>53</v>
      </c>
      <c r="B7" s="37">
        <f t="shared" ref="B7:B12" si="0">B27</f>
        <v>1266.6690000000001</v>
      </c>
      <c r="C7" s="33"/>
      <c r="D7" s="37">
        <f>IF(ISERROR(TER_horeca_gas_kWh/1000),0,TER_horeca_gas_kWh/1000)*0.902</f>
        <v>458.11587800000001</v>
      </c>
      <c r="E7" s="33">
        <f>$C$27*'E Balans VL '!I9/100/3.6*1000000</f>
        <v>71.351803421182041</v>
      </c>
      <c r="F7" s="33">
        <f>$C$27*('E Balans VL '!L9+'E Balans VL '!N9)/100/3.6*1000000</f>
        <v>365.23150567504365</v>
      </c>
      <c r="G7" s="34"/>
      <c r="H7" s="33"/>
      <c r="I7" s="33"/>
      <c r="J7" s="33">
        <f>$C$27*('E Balans VL '!D9+'E Balans VL '!E9)/100/3.6*1000000</f>
        <v>0</v>
      </c>
      <c r="K7" s="33"/>
      <c r="L7" s="33"/>
      <c r="M7" s="33"/>
      <c r="N7" s="33">
        <f>$C$27*'E Balans VL '!Y9/100/3.6*1000000</f>
        <v>0.34972072866857418</v>
      </c>
      <c r="O7" s="33"/>
      <c r="P7" s="33"/>
      <c r="R7" s="32"/>
    </row>
    <row r="8" spans="1:18">
      <c r="A8" s="6" t="s">
        <v>52</v>
      </c>
      <c r="B8" s="37">
        <f t="shared" si="0"/>
        <v>5250.0919999999996</v>
      </c>
      <c r="C8" s="33"/>
      <c r="D8" s="37">
        <f>IF(ISERROR(TER_handel_gas_kWh/1000),0,TER_handel_gas_kWh/1000)*0.902</f>
        <v>3403.9576780000002</v>
      </c>
      <c r="E8" s="33">
        <f>$C$28*'E Balans VL '!I13/100/3.6*1000000</f>
        <v>75.671637510316117</v>
      </c>
      <c r="F8" s="33">
        <f>$C$28*('E Balans VL '!L13+'E Balans VL '!N13)/100/3.6*1000000</f>
        <v>912.06324679228419</v>
      </c>
      <c r="G8" s="34"/>
      <c r="H8" s="33"/>
      <c r="I8" s="33"/>
      <c r="J8" s="33">
        <f>$C$28*('E Balans VL '!D13+'E Balans VL '!E13)/100/3.6*1000000</f>
        <v>0</v>
      </c>
      <c r="K8" s="33"/>
      <c r="L8" s="33"/>
      <c r="M8" s="33"/>
      <c r="N8" s="33">
        <f>$C$28*'E Balans VL '!Y13/100/3.6*1000000</f>
        <v>15.729860084281245</v>
      </c>
      <c r="O8" s="33"/>
      <c r="P8" s="33"/>
      <c r="R8" s="32"/>
    </row>
    <row r="9" spans="1:18">
      <c r="A9" s="32" t="s">
        <v>51</v>
      </c>
      <c r="B9" s="37">
        <f t="shared" si="0"/>
        <v>1378.1179999999999</v>
      </c>
      <c r="C9" s="33"/>
      <c r="D9" s="37">
        <f>IF(ISERROR(TER_gezond_gas_kWh/1000),0,TER_gezond_gas_kWh/1000)*0.902</f>
        <v>3424.5954379999998</v>
      </c>
      <c r="E9" s="33">
        <f>$C$29*'E Balans VL '!I10/100/3.6*1000000</f>
        <v>1.4721872190680267</v>
      </c>
      <c r="F9" s="33">
        <f>$C$29*('E Balans VL '!L10+'E Balans VL '!N10)/100/3.6*1000000</f>
        <v>224.81292837767373</v>
      </c>
      <c r="G9" s="34"/>
      <c r="H9" s="33"/>
      <c r="I9" s="33"/>
      <c r="J9" s="33">
        <f>$C$29*('E Balans VL '!D10+'E Balans VL '!E10)/100/3.6*1000000</f>
        <v>0</v>
      </c>
      <c r="K9" s="33"/>
      <c r="L9" s="33"/>
      <c r="M9" s="33"/>
      <c r="N9" s="33">
        <f>$C$29*'E Balans VL '!Y10/100/3.6*1000000</f>
        <v>14.186938471556893</v>
      </c>
      <c r="O9" s="33"/>
      <c r="P9" s="33"/>
      <c r="R9" s="32"/>
    </row>
    <row r="10" spans="1:18">
      <c r="A10" s="32" t="s">
        <v>50</v>
      </c>
      <c r="B10" s="37">
        <f t="shared" si="0"/>
        <v>1377.0029999999999</v>
      </c>
      <c r="C10" s="33"/>
      <c r="D10" s="37">
        <f>IF(ISERROR(TER_ander_gas_kWh/1000),0,TER_ander_gas_kWh/1000)*0.902</f>
        <v>481.25307999999995</v>
      </c>
      <c r="E10" s="33">
        <f>$C$30*'E Balans VL '!I14/100/3.6*1000000</f>
        <v>6.3326273392948913</v>
      </c>
      <c r="F10" s="33">
        <f>$C$30*('E Balans VL '!L14+'E Balans VL '!N14)/100/3.6*1000000</f>
        <v>412.73123367844585</v>
      </c>
      <c r="G10" s="34"/>
      <c r="H10" s="33"/>
      <c r="I10" s="33"/>
      <c r="J10" s="33">
        <f>$C$30*('E Balans VL '!D14+'E Balans VL '!E14)/100/3.6*1000000</f>
        <v>0</v>
      </c>
      <c r="K10" s="33"/>
      <c r="L10" s="33"/>
      <c r="M10" s="33"/>
      <c r="N10" s="33">
        <f>$C$30*'E Balans VL '!Y14/100/3.6*1000000</f>
        <v>958.48498502651216</v>
      </c>
      <c r="O10" s="33"/>
      <c r="P10" s="33"/>
      <c r="R10" s="32"/>
    </row>
    <row r="11" spans="1:18">
      <c r="A11" s="32" t="s">
        <v>55</v>
      </c>
      <c r="B11" s="37">
        <f t="shared" si="0"/>
        <v>218.352</v>
      </c>
      <c r="C11" s="33"/>
      <c r="D11" s="37">
        <f>IF(ISERROR(TER_onderwijs_gas_kWh/1000),0,TER_onderwijs_gas_kWh/1000)*0.902</f>
        <v>469.38456399999995</v>
      </c>
      <c r="E11" s="33">
        <f>$C$31*'E Balans VL '!I11/100/3.6*1000000</f>
        <v>0.20255019520474268</v>
      </c>
      <c r="F11" s="33">
        <f>$C$31*('E Balans VL '!L11+'E Balans VL '!N11)/100/3.6*1000000</f>
        <v>76.702039140088246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3645.0000000000005</v>
      </c>
      <c r="C13" s="249">
        <f ca="1">'lokale energieproductie'!O90+'lokale energieproductie'!O59</f>
        <v>4100.6250000000009</v>
      </c>
      <c r="D13" s="312">
        <f ca="1">('lokale energieproductie'!P59+'lokale energieproductie'!P90)*(-1)</f>
        <v>0</v>
      </c>
      <c r="E13" s="250"/>
      <c r="F13" s="312">
        <f ca="1">('lokale energieproductie'!S59+'lokale energieproductie'!S90)*(-1)</f>
        <v>-2278.125</v>
      </c>
      <c r="G13" s="251"/>
      <c r="H13" s="250"/>
      <c r="I13" s="250"/>
      <c r="J13" s="250"/>
      <c r="K13" s="250"/>
      <c r="L13" s="312">
        <f ca="1">('lokale energieproductie'!U59+'lokale energieproductie'!T59+'lokale energieproductie'!U90+'lokale energieproductie'!T90)*(-1)</f>
        <v>-6834.375</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23919.249999999996</v>
      </c>
      <c r="C16" s="21">
        <f t="shared" ca="1" si="1"/>
        <v>4100.6250000000009</v>
      </c>
      <c r="D16" s="21">
        <f t="shared" ca="1" si="1"/>
        <v>15483.712156000001</v>
      </c>
      <c r="E16" s="21">
        <f t="shared" si="1"/>
        <v>196.92899095427802</v>
      </c>
      <c r="F16" s="21">
        <f t="shared" ca="1" si="1"/>
        <v>1353.5666605412766</v>
      </c>
      <c r="G16" s="21">
        <f t="shared" si="1"/>
        <v>0</v>
      </c>
      <c r="H16" s="21">
        <f t="shared" si="1"/>
        <v>0</v>
      </c>
      <c r="I16" s="21">
        <f t="shared" si="1"/>
        <v>0</v>
      </c>
      <c r="J16" s="21">
        <f t="shared" si="1"/>
        <v>0</v>
      </c>
      <c r="K16" s="21">
        <f t="shared" si="1"/>
        <v>0</v>
      </c>
      <c r="L16" s="21">
        <f t="shared" ca="1" si="1"/>
        <v>0</v>
      </c>
      <c r="M16" s="21">
        <f t="shared" si="1"/>
        <v>0</v>
      </c>
      <c r="N16" s="21">
        <f t="shared" ca="1" si="1"/>
        <v>994.69478902032029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0.19601704309962631</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4688.5806581607358</v>
      </c>
      <c r="C20" s="23">
        <f t="shared" ref="C20:P20" ca="1" si="2">C16*C18</f>
        <v>322.01966911764708</v>
      </c>
      <c r="D20" s="23">
        <f t="shared" ca="1" si="2"/>
        <v>3127.7098555120006</v>
      </c>
      <c r="E20" s="23">
        <f t="shared" si="2"/>
        <v>44.702880946621114</v>
      </c>
      <c r="F20" s="23">
        <f t="shared" ca="1" si="2"/>
        <v>361.4022983645209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10784.016</v>
      </c>
      <c r="C26" s="39">
        <f>IF(ISERROR(B26*3.6/1000000/'E Balans VL '!Z12*100),0,B26*3.6/1000000/'E Balans VL '!Z12*100)</f>
        <v>0.22905784154711395</v>
      </c>
      <c r="D26" s="239" t="s">
        <v>692</v>
      </c>
      <c r="F26" s="6"/>
    </row>
    <row r="27" spans="1:18">
      <c r="A27" s="233" t="s">
        <v>53</v>
      </c>
      <c r="B27" s="33">
        <f>IF(ISERROR(TER_horeca_ele_kWh/1000),0,TER_horeca_ele_kWh/1000)</f>
        <v>1266.6690000000001</v>
      </c>
      <c r="C27" s="39">
        <f>IF(ISERROR(B27*3.6/1000000/'E Balans VL '!Z9*100),0,B27*3.6/1000000/'E Balans VL '!Z9*100)</f>
        <v>9.8491228863384878E-2</v>
      </c>
      <c r="D27" s="239" t="s">
        <v>692</v>
      </c>
      <c r="F27" s="6"/>
    </row>
    <row r="28" spans="1:18">
      <c r="A28" s="173" t="s">
        <v>52</v>
      </c>
      <c r="B28" s="33">
        <f>IF(ISERROR(TER_handel_ele_kWh/1000),0,TER_handel_ele_kWh/1000)</f>
        <v>5250.0919999999996</v>
      </c>
      <c r="C28" s="39">
        <f>IF(ISERROR(B28*3.6/1000000/'E Balans VL '!Z13*100),0,B28*3.6/1000000/'E Balans VL '!Z13*100)</f>
        <v>0.15021131086019324</v>
      </c>
      <c r="D28" s="239" t="s">
        <v>692</v>
      </c>
      <c r="F28" s="6"/>
    </row>
    <row r="29" spans="1:18">
      <c r="A29" s="233" t="s">
        <v>51</v>
      </c>
      <c r="B29" s="33">
        <f>IF(ISERROR(TER_gezond_ele_kWh/1000),0,TER_gezond_ele_kWh/1000)</f>
        <v>1378.1179999999999</v>
      </c>
      <c r="C29" s="39">
        <f>IF(ISERROR(B29*3.6/1000000/'E Balans VL '!Z10*100),0,B29*3.6/1000000/'E Balans VL '!Z10*100)</f>
        <v>0.15024688562166857</v>
      </c>
      <c r="D29" s="239" t="s">
        <v>692</v>
      </c>
      <c r="F29" s="6"/>
    </row>
    <row r="30" spans="1:18">
      <c r="A30" s="233" t="s">
        <v>50</v>
      </c>
      <c r="B30" s="33">
        <f>IF(ISERROR(TER_ander_ele_kWh/1000),0,TER_ander_ele_kWh/1000)</f>
        <v>1377.0029999999999</v>
      </c>
      <c r="C30" s="39">
        <f>IF(ISERROR(B30*3.6/1000000/'E Balans VL '!Z14*100),0,B30*3.6/1000000/'E Balans VL '!Z14*100)</f>
        <v>0.10076595588274218</v>
      </c>
      <c r="D30" s="239" t="s">
        <v>692</v>
      </c>
      <c r="F30" s="6"/>
    </row>
    <row r="31" spans="1:18">
      <c r="A31" s="233" t="s">
        <v>55</v>
      </c>
      <c r="B31" s="33">
        <f>IF(ISERROR(TER_onderwijs_ele_kWh/1000),0,TER_onderwijs_ele_kWh/1000)</f>
        <v>218.352</v>
      </c>
      <c r="C31" s="39">
        <f>IF(ISERROR(B31*3.6/1000000/'E Balans VL '!Z11*100),0,B31*3.6/1000000/'E Balans VL '!Z11*100)</f>
        <v>4.3856161343724102E-2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52244.955000000002</v>
      </c>
      <c r="C5" s="17">
        <f>IF(ISERROR('Eigen informatie GS &amp; warmtenet'!B59),0,'Eigen informatie GS &amp; warmtenet'!B59)</f>
        <v>0</v>
      </c>
      <c r="D5" s="30">
        <f>SUM(D6:D15)</f>
        <v>89642.606394000002</v>
      </c>
      <c r="E5" s="17">
        <f>SUM(E6:E15)</f>
        <v>3952.3252173080855</v>
      </c>
      <c r="F5" s="17">
        <f>SUM(F6:F15)</f>
        <v>55882.507558892939</v>
      </c>
      <c r="G5" s="18"/>
      <c r="H5" s="17"/>
      <c r="I5" s="17"/>
      <c r="J5" s="17">
        <f>SUM(J6:J15)</f>
        <v>2.5971444402672073</v>
      </c>
      <c r="K5" s="17"/>
      <c r="L5" s="17"/>
      <c r="M5" s="17"/>
      <c r="N5" s="17">
        <f>SUM(N6:N15)</f>
        <v>11443.567703857569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15092.205</v>
      </c>
      <c r="C8" s="33"/>
      <c r="D8" s="37">
        <f>IF( ISERROR(IND_metaal_Gas_kWH/1000),0,IND_metaal_Gas_kWH/1000)*0.902</f>
        <v>23323.253932</v>
      </c>
      <c r="E8" s="33">
        <f>C30*'E Balans VL '!I18/100/3.6*1000000</f>
        <v>433.50477678792942</v>
      </c>
      <c r="F8" s="33">
        <f>C30*'E Balans VL '!L18/100/3.6*1000000+C30*'E Balans VL '!N18/100/3.6*1000000</f>
        <v>3870.8603176835209</v>
      </c>
      <c r="G8" s="34"/>
      <c r="H8" s="33"/>
      <c r="I8" s="33"/>
      <c r="J8" s="40">
        <f>C30*'E Balans VL '!D18/100/3.6*1000000+C30*'E Balans VL '!E18/100/3.6*1000000</f>
        <v>0</v>
      </c>
      <c r="K8" s="33"/>
      <c r="L8" s="33"/>
      <c r="M8" s="33"/>
      <c r="N8" s="33">
        <f>C30*'E Balans VL '!Y18/100/3.6*1000000</f>
        <v>409.78417330514924</v>
      </c>
      <c r="O8" s="33"/>
      <c r="P8" s="33"/>
      <c r="R8" s="32"/>
    </row>
    <row r="9" spans="1:18">
      <c r="A9" s="6" t="s">
        <v>33</v>
      </c>
      <c r="B9" s="37">
        <f t="shared" si="0"/>
        <v>2720.8679999999999</v>
      </c>
      <c r="C9" s="33"/>
      <c r="D9" s="37">
        <f>IF( ISERROR(IND_andere_gas_kWh/1000),0,IND_andere_gas_kWh/1000)*0.902</f>
        <v>1163.1786100000002</v>
      </c>
      <c r="E9" s="33">
        <f>C31*'E Balans VL '!I19/100/3.6*1000000</f>
        <v>736.47206950843645</v>
      </c>
      <c r="F9" s="33">
        <f>C31*'E Balans VL '!L19/100/3.6*1000000+C31*'E Balans VL '!N19/100/3.6*1000000</f>
        <v>1812.3860159797478</v>
      </c>
      <c r="G9" s="34"/>
      <c r="H9" s="33"/>
      <c r="I9" s="33"/>
      <c r="J9" s="40">
        <f>C31*'E Balans VL '!D19/100/3.6*1000000+C31*'E Balans VL '!E19/100/3.6*1000000</f>
        <v>0</v>
      </c>
      <c r="K9" s="33"/>
      <c r="L9" s="33"/>
      <c r="M9" s="33"/>
      <c r="N9" s="33">
        <f>C31*'E Balans VL '!Y19/100/3.6*1000000</f>
        <v>888.31820451311762</v>
      </c>
      <c r="O9" s="33"/>
      <c r="P9" s="33"/>
      <c r="R9" s="32"/>
    </row>
    <row r="10" spans="1:18">
      <c r="A10" s="6" t="s">
        <v>41</v>
      </c>
      <c r="B10" s="37">
        <f t="shared" si="0"/>
        <v>33530.612000000001</v>
      </c>
      <c r="C10" s="33"/>
      <c r="D10" s="37">
        <f>IF( ISERROR(IND_voed_gas_kWh/1000),0,IND_voed_gas_kWh/1000)*0.902</f>
        <v>64320.591720000004</v>
      </c>
      <c r="E10" s="33">
        <f>C32*'E Balans VL '!I20/100/3.6*1000000</f>
        <v>2734.8337492965256</v>
      </c>
      <c r="F10" s="33">
        <f>C32*'E Balans VL '!L20/100/3.6*1000000+C32*'E Balans VL '!N20/100/3.6*1000000</f>
        <v>49997.184655678939</v>
      </c>
      <c r="G10" s="34"/>
      <c r="H10" s="33"/>
      <c r="I10" s="33"/>
      <c r="J10" s="40">
        <f>C32*'E Balans VL '!D20/100/3.6*1000000+C32*'E Balans VL '!E20/100/3.6*1000000</f>
        <v>0.44356929605705619</v>
      </c>
      <c r="K10" s="33"/>
      <c r="L10" s="33"/>
      <c r="M10" s="33"/>
      <c r="N10" s="33">
        <f>C32*'E Balans VL '!Y20/100/3.6*1000000</f>
        <v>9850.1106378809618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61.034999999999997</v>
      </c>
      <c r="C13" s="33"/>
      <c r="D13" s="37">
        <f>IF( ISERROR(IND_papier_gas_kWh/1000),0,IND_papier_gas_kWh/1000)*0.902</f>
        <v>0</v>
      </c>
      <c r="E13" s="33">
        <f>C35*'E Balans VL '!I23/100/3.6*1000000</f>
        <v>0.63945281720007563</v>
      </c>
      <c r="F13" s="33">
        <f>C35*'E Balans VL '!L23/100/3.6*1000000+C35*'E Balans VL '!N23/100/3.6*1000000</f>
        <v>4.5544425182116246</v>
      </c>
      <c r="G13" s="34"/>
      <c r="H13" s="33"/>
      <c r="I13" s="33"/>
      <c r="J13" s="40">
        <f>C35*'E Balans VL '!D23/100/3.6*1000000+C35*'E Balans VL '!E23/100/3.6*1000000</f>
        <v>0</v>
      </c>
      <c r="K13" s="33"/>
      <c r="L13" s="33"/>
      <c r="M13" s="33"/>
      <c r="N13" s="33">
        <f>C35*'E Balans VL '!Y23/100/3.6*1000000</f>
        <v>130.4559418602652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840.23500000000001</v>
      </c>
      <c r="C15" s="33"/>
      <c r="D15" s="37">
        <f>IF( ISERROR(IND_rest_gas_kWh/1000),0,IND_rest_gas_kWh/1000)*0.902</f>
        <v>835.582132</v>
      </c>
      <c r="E15" s="33">
        <f>C37*'E Balans VL '!I15/100/3.6*1000000</f>
        <v>46.8751688979942</v>
      </c>
      <c r="F15" s="33">
        <f>C37*'E Balans VL '!L15/100/3.6*1000000+C37*'E Balans VL '!N15/100/3.6*1000000</f>
        <v>197.52212703252542</v>
      </c>
      <c r="G15" s="34"/>
      <c r="H15" s="33"/>
      <c r="I15" s="33"/>
      <c r="J15" s="40">
        <f>C37*'E Balans VL '!D15/100/3.6*1000000+C37*'E Balans VL '!E15/100/3.6*1000000</f>
        <v>2.1535751442101509</v>
      </c>
      <c r="K15" s="33"/>
      <c r="L15" s="33"/>
      <c r="M15" s="33"/>
      <c r="N15" s="33">
        <f>C37*'E Balans VL '!Y15/100/3.6*1000000</f>
        <v>164.89874629807466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52244.955000000002</v>
      </c>
      <c r="C18" s="21">
        <f>C5+C16</f>
        <v>0</v>
      </c>
      <c r="D18" s="21">
        <f>MAX((D5+D16),0)</f>
        <v>89642.606394000002</v>
      </c>
      <c r="E18" s="21">
        <f>MAX((E5+E16),0)</f>
        <v>3952.3252173080855</v>
      </c>
      <c r="F18" s="21">
        <f>MAX((F5+F16),0)</f>
        <v>55882.507558892939</v>
      </c>
      <c r="G18" s="21"/>
      <c r="H18" s="21"/>
      <c r="I18" s="21"/>
      <c r="J18" s="21">
        <f>MAX((J5+J16),0)</f>
        <v>2.5971444402672073</v>
      </c>
      <c r="K18" s="21"/>
      <c r="L18" s="21">
        <f>MAX((L5+L16),0)</f>
        <v>0</v>
      </c>
      <c r="M18" s="21"/>
      <c r="N18" s="21">
        <f>MAX((N5+N16),0)</f>
        <v>11443.567703857569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0.19601704309962631</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10240.901595973037</v>
      </c>
      <c r="C22" s="23">
        <f ca="1">C18*C20</f>
        <v>0</v>
      </c>
      <c r="D22" s="23">
        <f>D18*D20</f>
        <v>18107.806491588002</v>
      </c>
      <c r="E22" s="23">
        <f>E18*E20</f>
        <v>897.17782432893546</v>
      </c>
      <c r="F22" s="23">
        <f>F18*F20</f>
        <v>14920.629518224416</v>
      </c>
      <c r="G22" s="23"/>
      <c r="H22" s="23"/>
      <c r="I22" s="23"/>
      <c r="J22" s="23">
        <f>J18*J20</f>
        <v>0.91938913185459137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15092.205</v>
      </c>
      <c r="C30" s="39">
        <f>IF(ISERROR(B30*3.6/1000000/'E Balans VL '!Z18*100),0,B30*3.6/1000000/'E Balans VL '!Z18*100)</f>
        <v>1.4850344457046509</v>
      </c>
      <c r="D30" s="239" t="s">
        <v>692</v>
      </c>
    </row>
    <row r="31" spans="1:18">
      <c r="A31" s="6" t="s">
        <v>33</v>
      </c>
      <c r="B31" s="37">
        <f>IF( ISERROR(IND_ander_ele_kWh/1000),0,IND_ander_ele_kWh/1000)</f>
        <v>2720.8679999999999</v>
      </c>
      <c r="C31" s="39">
        <f>IF(ISERROR(B31*3.6/1000000/'E Balans VL '!Z19*100),0,B31*3.6/1000000/'E Balans VL '!Z19*100)</f>
        <v>0.11849163098497639</v>
      </c>
      <c r="D31" s="239" t="s">
        <v>692</v>
      </c>
    </row>
    <row r="32" spans="1:18">
      <c r="A32" s="173" t="s">
        <v>41</v>
      </c>
      <c r="B32" s="37">
        <f>IF( ISERROR(IND_voed_ele_kWh/1000),0,IND_voed_ele_kWh/1000)</f>
        <v>33530.612000000001</v>
      </c>
      <c r="C32" s="39">
        <f>IF(ISERROR(B32*3.6/1000000/'E Balans VL '!Z20*100),0,B32*3.6/1000000/'E Balans VL '!Z20*100)</f>
        <v>6.3619500629694787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61.034999999999997</v>
      </c>
      <c r="C35" s="39">
        <f>IF(ISERROR(B35*3.6/1000000/'E Balans VL '!Z22*100),0,B35*3.6/1000000/'E Balans VL '!Z22*100)</f>
        <v>8.5821338943663089E-3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840.23500000000001</v>
      </c>
      <c r="C37" s="39">
        <f>IF(ISERROR(B37*3.6/1000000/'E Balans VL '!Z15*100),0,B37*3.6/1000000/'E Balans VL '!Z15*100)</f>
        <v>6.4750426963090524E-3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1376.71</v>
      </c>
      <c r="C5" s="17">
        <f>'Eigen informatie GS &amp; warmtenet'!B60</f>
        <v>0</v>
      </c>
      <c r="D5" s="30">
        <f>IF(ISERROR(SUM(LB_lb_gas_kWh,LB_rest_gas_kWh,onbekend_gas_kWh)/1000),0,SUM(LB_lb_gas_kWh,LB_rest_gas_kWh,onbekend_gas_kWh)/1000)*0.902</f>
        <v>4011.2733759999996</v>
      </c>
      <c r="E5" s="17">
        <f>B17*'E Balans VL '!I25/3.6*1000000/100</f>
        <v>17.348319563081869</v>
      </c>
      <c r="F5" s="17">
        <f>B17*('E Balans VL '!L25/3.6*1000000+'E Balans VL '!N25/3.6*1000000)/100</f>
        <v>4749.9943864628112</v>
      </c>
      <c r="G5" s="18"/>
      <c r="H5" s="17"/>
      <c r="I5" s="17"/>
      <c r="J5" s="17">
        <f>('E Balans VL '!D25+'E Balans VL '!E25)/3.6*1000000*landbouw!B17/100</f>
        <v>207.04153411305589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1376.71</v>
      </c>
      <c r="C8" s="21">
        <f>C5+C6</f>
        <v>0</v>
      </c>
      <c r="D8" s="21">
        <f>MAX((D5+D6),0)</f>
        <v>4011.2733759999996</v>
      </c>
      <c r="E8" s="21">
        <f>MAX((E5+E6),0)</f>
        <v>17.348319563081869</v>
      </c>
      <c r="F8" s="21">
        <f>MAX((F5+F6),0)</f>
        <v>4749.9943864628112</v>
      </c>
      <c r="G8" s="21"/>
      <c r="H8" s="21"/>
      <c r="I8" s="21"/>
      <c r="J8" s="21">
        <f>MAX((J5+J6),0)</f>
        <v>207.04153411305589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0.19601704309962631</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269.85862340568656</v>
      </c>
      <c r="C12" s="23">
        <f ca="1">C8*C10</f>
        <v>0</v>
      </c>
      <c r="D12" s="23">
        <f>D8*D10</f>
        <v>810.27722195199999</v>
      </c>
      <c r="E12" s="23">
        <f>E8*E10</f>
        <v>3.9380685408195846</v>
      </c>
      <c r="F12" s="23">
        <f>F8*F10</f>
        <v>1268.2485011855706</v>
      </c>
      <c r="G12" s="23"/>
      <c r="H12" s="23"/>
      <c r="I12" s="23"/>
      <c r="J12" s="23">
        <f>J8*J10</f>
        <v>73.29270307602178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0.19200765361950908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182.0853015470893</v>
      </c>
      <c r="C26" s="249">
        <f>B26*'GWP N2O_CH4'!B5</f>
        <v>3823.7913324888755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118.38313492334835</v>
      </c>
      <c r="C27" s="249">
        <f>B27*'GWP N2O_CH4'!B5</f>
        <v>2486.0458333903152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3.035177767263098</v>
      </c>
      <c r="C28" s="249">
        <f>B28*'GWP N2O_CH4'!B4</f>
        <v>940.90510785156039</v>
      </c>
      <c r="D28" s="50"/>
    </row>
    <row r="29" spans="1:4">
      <c r="A29" s="41" t="s">
        <v>277</v>
      </c>
      <c r="B29" s="249">
        <f>B34*'ha_N2O bodem landbouw'!B4</f>
        <v>10.090521319719358</v>
      </c>
      <c r="C29" s="249">
        <f>B29*'GWP N2O_CH4'!B4</f>
        <v>3128.0616091130009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2.5195023462307856E-3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7.5868758001998001E-5</v>
      </c>
      <c r="C5" s="448" t="s">
        <v>211</v>
      </c>
      <c r="D5" s="433">
        <f>SUM(D6:D11)</f>
        <v>1.1811222474210235E-4</v>
      </c>
      <c r="E5" s="433">
        <f>SUM(E6:E11)</f>
        <v>4.3443995656681084E-3</v>
      </c>
      <c r="F5" s="446" t="s">
        <v>211</v>
      </c>
      <c r="G5" s="433">
        <f>SUM(G6:G11)</f>
        <v>1.1024522168086592</v>
      </c>
      <c r="H5" s="433">
        <f>SUM(H6:H11)</f>
        <v>0.18398402342987311</v>
      </c>
      <c r="I5" s="448" t="s">
        <v>211</v>
      </c>
      <c r="J5" s="448" t="s">
        <v>211</v>
      </c>
      <c r="K5" s="448" t="s">
        <v>211</v>
      </c>
      <c r="L5" s="448" t="s">
        <v>211</v>
      </c>
      <c r="M5" s="433">
        <f>SUM(M6:M11)</f>
        <v>5.7609579829618437E-2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1.1183462551153322E-5</v>
      </c>
      <c r="C6" s="949"/>
      <c r="D6" s="949">
        <f>vkm_2011_GW_PW*SUMIFS(TableVerdeelsleutelVkm[CNG],TableVerdeelsleutelVkm[Voertuigtype],"Lichte voertuigen")*SUMIFS(TableECFTransport[EnergieConsumptieFactor (PJ per km)],TableECFTransport[Index],CONCATENATE($A6,"_CNG_CNG"))</f>
        <v>1.5837970240910493E-5</v>
      </c>
      <c r="E6" s="949">
        <f>vkm_2011_GW_PW*SUMIFS(TableVerdeelsleutelVkm[LPG],TableVerdeelsleutelVkm[Voertuigtype],"Lichte voertuigen")*SUMIFS(TableECFTransport[EnergieConsumptieFactor (PJ per km)],TableECFTransport[Index],CONCATENATE($A6,"_LPG_LPG"))</f>
        <v>4.9741850529245958E-4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8.9399725734083724E-2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2.402251961660774E-2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5.0614032553527892E-3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6.1660828623560293E-3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2.1968856873147548E-6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2.7824966490321517E-4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6.3428730618200087E-6</v>
      </c>
      <c r="C8" s="949"/>
      <c r="D8" s="436">
        <f>vkm_2011_NGW_PW*SUMIFS(TableVerdeelsleutelVkm[CNG],TableVerdeelsleutelVkm[Voertuigtype],"Lichte voertuigen")*SUMIFS(TableECFTransport[EnergieConsumptieFactor (PJ per km)],TableECFTransport[Index],CONCATENATE($A8,"_CNG_CNG"))</f>
        <v>1.6002920150530267E-5</v>
      </c>
      <c r="E8" s="436">
        <f>vkm_2011_NGW_PW*SUMIFS(TableVerdeelsleutelVkm[LPG],TableVerdeelsleutelVkm[Voertuigtype],"Lichte voertuigen")*SUMIFS(TableECFTransport[EnergieConsumptieFactor (PJ per km)],TableECFTransport[Index],CONCATENATE($A8,"_LPG_LPG"))</f>
        <v>4.6292849755730231E-4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7.8470869352028141E-2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2.342077782042102E-2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4.5426324469736998E-3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6.9349372429059321E-4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2.3381121559362826E-7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3.1293918239275096E-5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5.8342422389024675E-5</v>
      </c>
      <c r="C10" s="949"/>
      <c r="D10" s="436">
        <f>vkm_2011_SW_PW*SUMIFS(TableVerdeelsleutelVkm[CNG],TableVerdeelsleutelVkm[Voertuigtype],"Lichte voertuigen")*SUMIFS(TableECFTransport[EnergieConsumptieFactor (PJ per km)],TableECFTransport[Index],CONCATENATE($A10,"_CNG_CNG"))</f>
        <v>8.6271334350661593E-5</v>
      </c>
      <c r="E10" s="436">
        <f>vkm_2011_SW_PW*SUMIFS(TableVerdeelsleutelVkm[LPG],TableVerdeelsleutelVkm[Voertuigtype],"Lichte voertuigen")*SUMIFS(TableECFTransport[EnergieConsumptieFactor (PJ per km)],TableECFTransport[Index],CONCATENATE($A10,"_LPG_LPG"))</f>
        <v>3.3840525628183469E-3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0.55082427217856322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0.13639348444673158</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3.0687721432105495E-2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0.37689777295733745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1.4481084920986117E-4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1.7008279112043966E-2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21.074655000554998</v>
      </c>
      <c r="C14" s="21"/>
      <c r="D14" s="21">
        <f t="shared" ref="D14:M14" si="0">((D5)*10^9/3600)+D12</f>
        <v>32.808951317250653</v>
      </c>
      <c r="E14" s="21">
        <f t="shared" si="0"/>
        <v>1206.7776571300301</v>
      </c>
      <c r="F14" s="21"/>
      <c r="G14" s="21">
        <f t="shared" si="0"/>
        <v>306236.72689129424</v>
      </c>
      <c r="H14" s="21">
        <f t="shared" si="0"/>
        <v>51106.673174964752</v>
      </c>
      <c r="I14" s="21"/>
      <c r="J14" s="21"/>
      <c r="K14" s="21"/>
      <c r="L14" s="21"/>
      <c r="M14" s="21">
        <f t="shared" si="0"/>
        <v>16002.6610637829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0.19601704309962631</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4.1309915575535445</v>
      </c>
      <c r="C18" s="23"/>
      <c r="D18" s="23">
        <f t="shared" ref="D18:M18" si="1">D14*D16</f>
        <v>6.6274081660846322</v>
      </c>
      <c r="E18" s="23">
        <f t="shared" si="1"/>
        <v>273.93852816851683</v>
      </c>
      <c r="F18" s="23"/>
      <c r="G18" s="23">
        <f t="shared" si="1"/>
        <v>81765.206079975571</v>
      </c>
      <c r="H18" s="23">
        <f t="shared" si="1"/>
        <v>12725.561620566223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7.8087911011909513E-3</v>
      </c>
      <c r="H50" s="323">
        <f t="shared" si="2"/>
        <v>0</v>
      </c>
      <c r="I50" s="323">
        <f t="shared" si="2"/>
        <v>0</v>
      </c>
      <c r="J50" s="323">
        <f t="shared" si="2"/>
        <v>0</v>
      </c>
      <c r="K50" s="323">
        <f t="shared" si="2"/>
        <v>0</v>
      </c>
      <c r="L50" s="323">
        <f t="shared" si="2"/>
        <v>0</v>
      </c>
      <c r="M50" s="323">
        <f t="shared" si="2"/>
        <v>3.472760399200114E-4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7.8087911011909513E-3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3.472760399200114E-4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2169.1086392197089</v>
      </c>
      <c r="H54" s="21">
        <f t="shared" si="3"/>
        <v>0</v>
      </c>
      <c r="I54" s="21">
        <f t="shared" si="3"/>
        <v>0</v>
      </c>
      <c r="J54" s="21">
        <f t="shared" si="3"/>
        <v>0</v>
      </c>
      <c r="K54" s="21">
        <f t="shared" si="3"/>
        <v>0</v>
      </c>
      <c r="L54" s="21">
        <f t="shared" si="3"/>
        <v>0</v>
      </c>
      <c r="M54" s="21">
        <f t="shared" si="3"/>
        <v>96.46556664444762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0.19601704309962631</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579.15200667166232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9745.0493356219795</v>
      </c>
      <c r="C6" s="1142"/>
      <c r="D6" s="1145"/>
      <c r="E6" s="1145"/>
      <c r="F6" s="1148"/>
      <c r="G6" s="1151"/>
      <c r="H6" s="1139"/>
      <c r="I6" s="1145"/>
      <c r="J6" s="1145"/>
      <c r="K6" s="1145"/>
      <c r="L6" s="1175"/>
      <c r="M6" s="561"/>
      <c r="N6" s="1187"/>
      <c r="O6" s="1188"/>
      <c r="Q6" s="559"/>
      <c r="R6" s="1172"/>
      <c r="S6" s="1172"/>
    </row>
    <row r="7" spans="1:19" s="549" customFormat="1">
      <c r="A7" s="562" t="s">
        <v>252</v>
      </c>
      <c r="B7" s="563">
        <f>N57</f>
        <v>3645.0000000000005</v>
      </c>
      <c r="C7" s="564">
        <f>B100</f>
        <v>0</v>
      </c>
      <c r="D7" s="565"/>
      <c r="E7" s="565">
        <f>E100</f>
        <v>1072.0588235294117</v>
      </c>
      <c r="F7" s="566"/>
      <c r="G7" s="567"/>
      <c r="H7" s="565">
        <f>I100</f>
        <v>0</v>
      </c>
      <c r="I7" s="565">
        <f>G100+F100</f>
        <v>3216.1764705882347</v>
      </c>
      <c r="J7" s="565">
        <f>H100+D100+C100</f>
        <v>0</v>
      </c>
      <c r="K7" s="565"/>
      <c r="L7" s="568"/>
      <c r="M7" s="569">
        <f>C7*$C$11+D7*$D$11+E7*$E$11+F7*$F$11+G7*$G$11+H7*$H$11+I7*$I$11+J7*$J$11</f>
        <v>286.23970588235295</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13390.049335621979</v>
      </c>
      <c r="C9" s="580">
        <f t="shared" ref="C9:L9" si="0">SUM(C7:C8)</f>
        <v>0</v>
      </c>
      <c r="D9" s="580">
        <f t="shared" si="0"/>
        <v>0</v>
      </c>
      <c r="E9" s="580">
        <f t="shared" si="0"/>
        <v>1072.0588235294117</v>
      </c>
      <c r="F9" s="580">
        <f t="shared" si="0"/>
        <v>0</v>
      </c>
      <c r="G9" s="580">
        <f t="shared" si="0"/>
        <v>0</v>
      </c>
      <c r="H9" s="580">
        <f t="shared" si="0"/>
        <v>0</v>
      </c>
      <c r="I9" s="580">
        <f t="shared" si="0"/>
        <v>3216.1764705882347</v>
      </c>
      <c r="J9" s="580">
        <f t="shared" si="0"/>
        <v>0</v>
      </c>
      <c r="K9" s="580">
        <f t="shared" si="0"/>
        <v>0</v>
      </c>
      <c r="L9" s="580">
        <f t="shared" si="0"/>
        <v>0</v>
      </c>
      <c r="M9" s="581">
        <f>SUM(M4:M8)</f>
        <v>286.23970588235295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4100.6250000000009</v>
      </c>
      <c r="C16" s="596">
        <f>B101</f>
        <v>0</v>
      </c>
      <c r="D16" s="597"/>
      <c r="E16" s="597">
        <f>E101</f>
        <v>1206.0661764705883</v>
      </c>
      <c r="F16" s="598"/>
      <c r="G16" s="599"/>
      <c r="H16" s="596">
        <f>I101</f>
        <v>0</v>
      </c>
      <c r="I16" s="597">
        <f>G101+F101</f>
        <v>3618.1985294117649</v>
      </c>
      <c r="J16" s="597">
        <f>H101+D101+C101</f>
        <v>0</v>
      </c>
      <c r="K16" s="597"/>
      <c r="L16" s="600"/>
      <c r="M16" s="601">
        <f>C16*$C$21+E16*$E$21+H16*$H$21+I16*$I$21+J16*$J$21+D16*$D$21+F16*$F$21+G16*$G$21+K16*$K$21+L16*$L$21</f>
        <v>322.01966911764708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4100.6250000000009</v>
      </c>
      <c r="C19" s="579">
        <f>SUM(C16:C18)</f>
        <v>0</v>
      </c>
      <c r="D19" s="579">
        <f t="shared" ref="D19:M19" si="1">SUM(D16:D18)</f>
        <v>0</v>
      </c>
      <c r="E19" s="579">
        <f t="shared" si="1"/>
        <v>1206.0661764705883</v>
      </c>
      <c r="F19" s="579">
        <f t="shared" si="1"/>
        <v>0</v>
      </c>
      <c r="G19" s="579">
        <f t="shared" si="1"/>
        <v>0</v>
      </c>
      <c r="H19" s="579">
        <f t="shared" si="1"/>
        <v>0</v>
      </c>
      <c r="I19" s="579">
        <f t="shared" si="1"/>
        <v>3618.1985294117649</v>
      </c>
      <c r="J19" s="579">
        <f t="shared" si="1"/>
        <v>0</v>
      </c>
      <c r="K19" s="579">
        <f t="shared" si="1"/>
        <v>0</v>
      </c>
      <c r="L19" s="579">
        <f t="shared" si="1"/>
        <v>0</v>
      </c>
      <c r="M19" s="606">
        <f t="shared" si="1"/>
        <v>322.01966911764708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71037</v>
      </c>
      <c r="C27" s="839">
        <v>3560</v>
      </c>
      <c r="D27" s="658" t="s">
        <v>840</v>
      </c>
      <c r="E27" s="657" t="s">
        <v>841</v>
      </c>
      <c r="F27" s="657" t="s">
        <v>842</v>
      </c>
      <c r="G27" s="657" t="s">
        <v>843</v>
      </c>
      <c r="H27" s="657" t="s">
        <v>844</v>
      </c>
      <c r="I27" s="657" t="s">
        <v>841</v>
      </c>
      <c r="J27" s="838">
        <v>40575</v>
      </c>
      <c r="K27" s="838">
        <v>40616</v>
      </c>
      <c r="L27" s="657" t="s">
        <v>845</v>
      </c>
      <c r="M27" s="657">
        <v>810</v>
      </c>
      <c r="N27" s="657">
        <v>3645.0000000000005</v>
      </c>
      <c r="O27" s="657">
        <v>4100.6250000000009</v>
      </c>
      <c r="P27" s="657">
        <v>0</v>
      </c>
      <c r="Q27" s="657">
        <v>0</v>
      </c>
      <c r="R27" s="657">
        <v>0</v>
      </c>
      <c r="S27" s="657">
        <v>2278.125</v>
      </c>
      <c r="T27" s="657">
        <v>6834.375</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810</v>
      </c>
      <c r="N57" s="615">
        <f>SUM(N27:N56)</f>
        <v>3645.0000000000005</v>
      </c>
      <c r="O57" s="615">
        <f t="shared" ref="O57:W57" si="2">SUM(O27:O56)</f>
        <v>4100.6250000000009</v>
      </c>
      <c r="P57" s="615">
        <f t="shared" si="2"/>
        <v>0</v>
      </c>
      <c r="Q57" s="615">
        <f t="shared" si="2"/>
        <v>0</v>
      </c>
      <c r="R57" s="615">
        <f t="shared" si="2"/>
        <v>0</v>
      </c>
      <c r="S57" s="615">
        <f t="shared" si="2"/>
        <v>2278.125</v>
      </c>
      <c r="T57" s="615">
        <f t="shared" si="2"/>
        <v>6834.375</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810</v>
      </c>
      <c r="N59" s="615">
        <f ca="1">SUMIF($Z$27:AB56,"tertiair",N27:N56)</f>
        <v>3645.0000000000005</v>
      </c>
      <c r="O59" s="615">
        <f ca="1">SUMIF($Z$27:AC56,"tertiair",O27:O56)</f>
        <v>4100.6250000000009</v>
      </c>
      <c r="P59" s="615">
        <f ca="1">SUMIF($Z$27:AD56,"tertiair",P27:P56)</f>
        <v>0</v>
      </c>
      <c r="Q59" s="615">
        <f ca="1">SUMIF($Z$27:AE56,"tertiair",Q27:Q56)</f>
        <v>0</v>
      </c>
      <c r="R59" s="615">
        <f ca="1">SUMIF($Z$27:AF56,"tertiair",R27:R56)</f>
        <v>0</v>
      </c>
      <c r="S59" s="615">
        <f ca="1">SUMIF($Z$27:AG56,"tertiair",S27:S56)</f>
        <v>2278.125</v>
      </c>
      <c r="T59" s="615">
        <f ca="1">SUMIF($Z$27:AH56,"tertiair",T27:T56)</f>
        <v>6834.375</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0.52941176470588236</v>
      </c>
      <c r="C97" s="640">
        <f>IF(ISERROR(N57/(O57+N57)),0,N57/(N57+O57))</f>
        <v>0.47058823529411759</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1072.0588235294117</v>
      </c>
      <c r="F100" s="649">
        <f t="shared" si="9"/>
        <v>3216.1764705882347</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1206.0661764705883</v>
      </c>
      <c r="F101" s="652">
        <f t="shared" si="10"/>
        <v>3618.1985294117649</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24961.220999999998</v>
      </c>
      <c r="D10" s="704">
        <f ca="1">tertiair!C16</f>
        <v>4100.6250000000009</v>
      </c>
      <c r="E10" s="704">
        <f ca="1">tertiair!D16</f>
        <v>15483.712156000001</v>
      </c>
      <c r="F10" s="704">
        <f>tertiair!E16</f>
        <v>196.92899095427802</v>
      </c>
      <c r="G10" s="704">
        <f ca="1">tertiair!F16</f>
        <v>1353.5666605412766</v>
      </c>
      <c r="H10" s="704">
        <f>tertiair!G16</f>
        <v>0</v>
      </c>
      <c r="I10" s="704">
        <f>tertiair!H16</f>
        <v>0</v>
      </c>
      <c r="J10" s="704">
        <f>tertiair!I16</f>
        <v>0</v>
      </c>
      <c r="K10" s="704">
        <f>tertiair!J16</f>
        <v>0</v>
      </c>
      <c r="L10" s="704">
        <f>tertiair!K16</f>
        <v>0</v>
      </c>
      <c r="M10" s="704">
        <f ca="1">tertiair!L16</f>
        <v>0</v>
      </c>
      <c r="N10" s="704">
        <f>tertiair!M16</f>
        <v>0</v>
      </c>
      <c r="O10" s="704">
        <f ca="1">tertiair!N16</f>
        <v>994.69478902032029</v>
      </c>
      <c r="P10" s="704">
        <f>tertiair!O16</f>
        <v>1.5633333333333335</v>
      </c>
      <c r="Q10" s="705">
        <f>tertiair!P16</f>
        <v>19.066666666666666</v>
      </c>
      <c r="R10" s="707">
        <f ca="1">SUM(C10:Q10)</f>
        <v>47111.378596515875</v>
      </c>
      <c r="S10" s="67"/>
    </row>
    <row r="11" spans="1:19" s="459" customFormat="1">
      <c r="A11" s="858" t="s">
        <v>225</v>
      </c>
      <c r="B11" s="863"/>
      <c r="C11" s="704">
        <f>huishoudens!B8</f>
        <v>28387.425830965145</v>
      </c>
      <c r="D11" s="704">
        <f>huishoudens!C8</f>
        <v>0</v>
      </c>
      <c r="E11" s="704">
        <f>huishoudens!D8</f>
        <v>31142.213871999997</v>
      </c>
      <c r="F11" s="704">
        <f>huishoudens!E8</f>
        <v>2399.6289070411508</v>
      </c>
      <c r="G11" s="704">
        <f>huishoudens!F8</f>
        <v>67172.066205030147</v>
      </c>
      <c r="H11" s="704">
        <f>huishoudens!G8</f>
        <v>0</v>
      </c>
      <c r="I11" s="704">
        <f>huishoudens!H8</f>
        <v>0</v>
      </c>
      <c r="J11" s="704">
        <f>huishoudens!I8</f>
        <v>0</v>
      </c>
      <c r="K11" s="704">
        <f>huishoudens!J8</f>
        <v>0</v>
      </c>
      <c r="L11" s="704">
        <f>huishoudens!K8</f>
        <v>0</v>
      </c>
      <c r="M11" s="704">
        <f>huishoudens!L8</f>
        <v>0</v>
      </c>
      <c r="N11" s="704">
        <f>huishoudens!M8</f>
        <v>0</v>
      </c>
      <c r="O11" s="704">
        <f>huishoudens!N8</f>
        <v>19678.825457416431</v>
      </c>
      <c r="P11" s="704">
        <f>huishoudens!O8</f>
        <v>300.16000000000003</v>
      </c>
      <c r="Q11" s="705">
        <f>huishoudens!P8</f>
        <v>915.2</v>
      </c>
      <c r="R11" s="707">
        <f>SUM(C11:Q11)</f>
        <v>149995.52027245288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52244.955000000002</v>
      </c>
      <c r="D13" s="704">
        <f>industrie!C18</f>
        <v>0</v>
      </c>
      <c r="E13" s="704">
        <f>industrie!D18</f>
        <v>89642.606394000002</v>
      </c>
      <c r="F13" s="704">
        <f>industrie!E18</f>
        <v>3952.3252173080855</v>
      </c>
      <c r="G13" s="704">
        <f>industrie!F18</f>
        <v>55882.507558892939</v>
      </c>
      <c r="H13" s="704">
        <f>industrie!G18</f>
        <v>0</v>
      </c>
      <c r="I13" s="704">
        <f>industrie!H18</f>
        <v>0</v>
      </c>
      <c r="J13" s="704">
        <f>industrie!I18</f>
        <v>0</v>
      </c>
      <c r="K13" s="704">
        <f>industrie!J18</f>
        <v>2.5971444402672073</v>
      </c>
      <c r="L13" s="704">
        <f>industrie!K18</f>
        <v>0</v>
      </c>
      <c r="M13" s="704">
        <f>industrie!L18</f>
        <v>0</v>
      </c>
      <c r="N13" s="704">
        <f>industrie!M18</f>
        <v>0</v>
      </c>
      <c r="O13" s="704">
        <f>industrie!N18</f>
        <v>11443.567703857569</v>
      </c>
      <c r="P13" s="704">
        <f>industrie!O18</f>
        <v>0</v>
      </c>
      <c r="Q13" s="705">
        <f>industrie!P18</f>
        <v>0</v>
      </c>
      <c r="R13" s="707">
        <f>SUM(C13:Q13)</f>
        <v>213168.5590184989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105593.60183096514</v>
      </c>
      <c r="D15" s="709">
        <f t="shared" ref="D15:Q15" ca="1" si="0">SUM(D9:D14)</f>
        <v>4100.6250000000009</v>
      </c>
      <c r="E15" s="709">
        <f t="shared" ca="1" si="0"/>
        <v>136268.53242200002</v>
      </c>
      <c r="F15" s="709">
        <f t="shared" si="0"/>
        <v>6548.8831153035144</v>
      </c>
      <c r="G15" s="709">
        <f t="shared" ca="1" si="0"/>
        <v>124408.14042446436</v>
      </c>
      <c r="H15" s="709">
        <f t="shared" si="0"/>
        <v>0</v>
      </c>
      <c r="I15" s="709">
        <f t="shared" si="0"/>
        <v>0</v>
      </c>
      <c r="J15" s="709">
        <f t="shared" si="0"/>
        <v>0</v>
      </c>
      <c r="K15" s="709">
        <f t="shared" si="0"/>
        <v>2.5971444402672073</v>
      </c>
      <c r="L15" s="709">
        <f t="shared" si="0"/>
        <v>0</v>
      </c>
      <c r="M15" s="709">
        <f t="shared" ca="1" si="0"/>
        <v>0</v>
      </c>
      <c r="N15" s="709">
        <f t="shared" si="0"/>
        <v>0</v>
      </c>
      <c r="O15" s="709">
        <f t="shared" ca="1" si="0"/>
        <v>32117.087950294321</v>
      </c>
      <c r="P15" s="709">
        <f t="shared" si="0"/>
        <v>301.72333333333336</v>
      </c>
      <c r="Q15" s="710">
        <f t="shared" si="0"/>
        <v>934.26666666666677</v>
      </c>
      <c r="R15" s="711">
        <f ca="1">SUM(R9:R14)</f>
        <v>410275.4578874677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2169.1086392197089</v>
      </c>
      <c r="I18" s="704">
        <f>transport!H54</f>
        <v>0</v>
      </c>
      <c r="J18" s="704">
        <f>transport!I54</f>
        <v>0</v>
      </c>
      <c r="K18" s="704">
        <f>transport!J54</f>
        <v>0</v>
      </c>
      <c r="L18" s="704">
        <f>transport!K54</f>
        <v>0</v>
      </c>
      <c r="M18" s="704">
        <f>transport!L54</f>
        <v>0</v>
      </c>
      <c r="N18" s="704">
        <f>transport!M54</f>
        <v>96.46556664444762</v>
      </c>
      <c r="O18" s="704">
        <f>transport!N54</f>
        <v>0</v>
      </c>
      <c r="P18" s="704">
        <f>transport!O54</f>
        <v>0</v>
      </c>
      <c r="Q18" s="705">
        <f>transport!P54</f>
        <v>0</v>
      </c>
      <c r="R18" s="707">
        <f>SUM(C18:Q18)</f>
        <v>2265.5742058641567</v>
      </c>
      <c r="S18" s="67"/>
    </row>
    <row r="19" spans="1:19" s="459" customFormat="1" ht="15" thickBot="1">
      <c r="A19" s="858" t="s">
        <v>307</v>
      </c>
      <c r="B19" s="863"/>
      <c r="C19" s="713">
        <f>transport!B14</f>
        <v>21.074655000554998</v>
      </c>
      <c r="D19" s="713">
        <f>transport!C14</f>
        <v>0</v>
      </c>
      <c r="E19" s="713">
        <f>transport!D14</f>
        <v>32.808951317250653</v>
      </c>
      <c r="F19" s="713">
        <f>transport!E14</f>
        <v>1206.7776571300301</v>
      </c>
      <c r="G19" s="713">
        <f>transport!F14</f>
        <v>0</v>
      </c>
      <c r="H19" s="713">
        <f>transport!G14</f>
        <v>306236.72689129424</v>
      </c>
      <c r="I19" s="713">
        <f>transport!H14</f>
        <v>51106.673174964752</v>
      </c>
      <c r="J19" s="713">
        <f>transport!I14</f>
        <v>0</v>
      </c>
      <c r="K19" s="713">
        <f>transport!J14</f>
        <v>0</v>
      </c>
      <c r="L19" s="713">
        <f>transport!K14</f>
        <v>0</v>
      </c>
      <c r="M19" s="713">
        <f>transport!L14</f>
        <v>0</v>
      </c>
      <c r="N19" s="713">
        <f>transport!M14</f>
        <v>16002.6610637829</v>
      </c>
      <c r="O19" s="713">
        <f>transport!N14</f>
        <v>0</v>
      </c>
      <c r="P19" s="713">
        <f>transport!O14</f>
        <v>0</v>
      </c>
      <c r="Q19" s="714">
        <f>transport!P14</f>
        <v>0</v>
      </c>
      <c r="R19" s="715">
        <f>SUM(C19:Q19)</f>
        <v>374606.72239348968</v>
      </c>
      <c r="S19" s="67"/>
    </row>
    <row r="20" spans="1:19" s="459" customFormat="1" ht="15.75" thickBot="1">
      <c r="A20" s="716" t="s">
        <v>230</v>
      </c>
      <c r="B20" s="866"/>
      <c r="C20" s="861">
        <f>SUM(C17:C19)</f>
        <v>21.074655000554998</v>
      </c>
      <c r="D20" s="717">
        <f t="shared" ref="D20:R20" si="1">SUM(D17:D19)</f>
        <v>0</v>
      </c>
      <c r="E20" s="717">
        <f t="shared" si="1"/>
        <v>32.808951317250653</v>
      </c>
      <c r="F20" s="717">
        <f t="shared" si="1"/>
        <v>1206.7776571300301</v>
      </c>
      <c r="G20" s="717">
        <f t="shared" si="1"/>
        <v>0</v>
      </c>
      <c r="H20" s="717">
        <f t="shared" si="1"/>
        <v>308405.83553051396</v>
      </c>
      <c r="I20" s="717">
        <f t="shared" si="1"/>
        <v>51106.673174964752</v>
      </c>
      <c r="J20" s="717">
        <f t="shared" si="1"/>
        <v>0</v>
      </c>
      <c r="K20" s="717">
        <f t="shared" si="1"/>
        <v>0</v>
      </c>
      <c r="L20" s="717">
        <f t="shared" si="1"/>
        <v>0</v>
      </c>
      <c r="M20" s="717">
        <f t="shared" si="1"/>
        <v>0</v>
      </c>
      <c r="N20" s="717">
        <f t="shared" si="1"/>
        <v>16099.126630427347</v>
      </c>
      <c r="O20" s="717">
        <f t="shared" si="1"/>
        <v>0</v>
      </c>
      <c r="P20" s="717">
        <f t="shared" si="1"/>
        <v>0</v>
      </c>
      <c r="Q20" s="718">
        <f t="shared" si="1"/>
        <v>0</v>
      </c>
      <c r="R20" s="719">
        <f t="shared" si="1"/>
        <v>376872.29659935384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1376.71</v>
      </c>
      <c r="D22" s="713">
        <f>+landbouw!C8</f>
        <v>0</v>
      </c>
      <c r="E22" s="713">
        <f>+landbouw!D8</f>
        <v>4011.2733759999996</v>
      </c>
      <c r="F22" s="713">
        <f>+landbouw!E8</f>
        <v>17.348319563081869</v>
      </c>
      <c r="G22" s="713">
        <f>+landbouw!F8</f>
        <v>4749.9943864628112</v>
      </c>
      <c r="H22" s="713">
        <f>+landbouw!G8</f>
        <v>0</v>
      </c>
      <c r="I22" s="713">
        <f>+landbouw!H8</f>
        <v>0</v>
      </c>
      <c r="J22" s="713">
        <f>+landbouw!I8</f>
        <v>0</v>
      </c>
      <c r="K22" s="713">
        <f>+landbouw!J8</f>
        <v>207.04153411305589</v>
      </c>
      <c r="L22" s="713">
        <f>+landbouw!K8</f>
        <v>0</v>
      </c>
      <c r="M22" s="713">
        <f>+landbouw!L8</f>
        <v>0</v>
      </c>
      <c r="N22" s="713">
        <f>+landbouw!M8</f>
        <v>0</v>
      </c>
      <c r="O22" s="713">
        <f>+landbouw!N8</f>
        <v>0</v>
      </c>
      <c r="P22" s="713">
        <f>+landbouw!O8</f>
        <v>0</v>
      </c>
      <c r="Q22" s="714">
        <f>+landbouw!P8</f>
        <v>0</v>
      </c>
      <c r="R22" s="715">
        <f>SUM(C22:Q22)</f>
        <v>10362.367616138949</v>
      </c>
      <c r="S22" s="67"/>
    </row>
    <row r="23" spans="1:19" s="459" customFormat="1" ht="17.25" thickTop="1" thickBot="1">
      <c r="A23" s="720" t="s">
        <v>116</v>
      </c>
      <c r="B23" s="852"/>
      <c r="C23" s="721">
        <f ca="1">C20+C15+C22</f>
        <v>106991.3864859657</v>
      </c>
      <c r="D23" s="721">
        <f t="shared" ref="D23:Q23" ca="1" si="2">D20+D15+D22</f>
        <v>4100.6250000000009</v>
      </c>
      <c r="E23" s="721">
        <f t="shared" ca="1" si="2"/>
        <v>140312.61474931726</v>
      </c>
      <c r="F23" s="721">
        <f t="shared" si="2"/>
        <v>7773.009091996626</v>
      </c>
      <c r="G23" s="721">
        <f t="shared" ca="1" si="2"/>
        <v>129158.13481092718</v>
      </c>
      <c r="H23" s="721">
        <f t="shared" si="2"/>
        <v>308405.83553051396</v>
      </c>
      <c r="I23" s="721">
        <f t="shared" si="2"/>
        <v>51106.673174964752</v>
      </c>
      <c r="J23" s="721">
        <f t="shared" si="2"/>
        <v>0</v>
      </c>
      <c r="K23" s="721">
        <f t="shared" si="2"/>
        <v>209.6386785533231</v>
      </c>
      <c r="L23" s="721">
        <f t="shared" si="2"/>
        <v>0</v>
      </c>
      <c r="M23" s="721">
        <f t="shared" ca="1" si="2"/>
        <v>0</v>
      </c>
      <c r="N23" s="721">
        <f t="shared" si="2"/>
        <v>16099.126630427347</v>
      </c>
      <c r="O23" s="721">
        <f t="shared" ca="1" si="2"/>
        <v>32117.087950294321</v>
      </c>
      <c r="P23" s="721">
        <f t="shared" si="2"/>
        <v>301.72333333333336</v>
      </c>
      <c r="Q23" s="722">
        <f t="shared" si="2"/>
        <v>934.26666666666677</v>
      </c>
      <c r="R23" s="723">
        <f ca="1">R20+R15+R22</f>
        <v>797510.12210296059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4892.8247325762968</v>
      </c>
      <c r="D36" s="704">
        <f ca="1">tertiair!C20</f>
        <v>322.01966911764708</v>
      </c>
      <c r="E36" s="704">
        <f ca="1">tertiair!D20</f>
        <v>3127.7098555120006</v>
      </c>
      <c r="F36" s="704">
        <f>tertiair!E20</f>
        <v>44.702880946621114</v>
      </c>
      <c r="G36" s="704">
        <f ca="1">tertiair!F20</f>
        <v>361.4022983645209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8748.6594365170859</v>
      </c>
    </row>
    <row r="37" spans="1:18">
      <c r="A37" s="873" t="s">
        <v>225</v>
      </c>
      <c r="B37" s="880"/>
      <c r="C37" s="704">
        <f ca="1">huishoudens!B12</f>
        <v>5564.41927259574</v>
      </c>
      <c r="D37" s="704">
        <f ca="1">huishoudens!C12</f>
        <v>0</v>
      </c>
      <c r="E37" s="704">
        <f>huishoudens!D12</f>
        <v>6290.7272021439994</v>
      </c>
      <c r="F37" s="704">
        <f>huishoudens!E12</f>
        <v>544.71576189834127</v>
      </c>
      <c r="G37" s="704">
        <f>huishoudens!F12</f>
        <v>17934.941676743052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30334.803913381133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10240.901595973037</v>
      </c>
      <c r="D39" s="704">
        <f ca="1">industrie!C22</f>
        <v>0</v>
      </c>
      <c r="E39" s="704">
        <f>industrie!D22</f>
        <v>18107.806491588002</v>
      </c>
      <c r="F39" s="704">
        <f>industrie!E22</f>
        <v>897.17782432893546</v>
      </c>
      <c r="G39" s="704">
        <f>industrie!F22</f>
        <v>14920.629518224416</v>
      </c>
      <c r="H39" s="704">
        <f>industrie!G22</f>
        <v>0</v>
      </c>
      <c r="I39" s="704">
        <f>industrie!H22</f>
        <v>0</v>
      </c>
      <c r="J39" s="704">
        <f>industrie!I22</f>
        <v>0</v>
      </c>
      <c r="K39" s="704">
        <f>industrie!J22</f>
        <v>0.91938913185459137</v>
      </c>
      <c r="L39" s="704">
        <f>industrie!K22</f>
        <v>0</v>
      </c>
      <c r="M39" s="704">
        <f>industrie!L22</f>
        <v>0</v>
      </c>
      <c r="N39" s="704">
        <f>industrie!M22</f>
        <v>0</v>
      </c>
      <c r="O39" s="704">
        <f>industrie!N22</f>
        <v>0</v>
      </c>
      <c r="P39" s="704">
        <f>industrie!O22</f>
        <v>0</v>
      </c>
      <c r="Q39" s="814">
        <f>industrie!P22</f>
        <v>0</v>
      </c>
      <c r="R39" s="906">
        <f ca="1">SUM(C39:Q39)</f>
        <v>44167.434819246249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20698.145601145072</v>
      </c>
      <c r="D41" s="749">
        <f t="shared" ref="D41:R41" ca="1" si="4">SUM(D35:D40)</f>
        <v>322.01966911764708</v>
      </c>
      <c r="E41" s="749">
        <f t="shared" ca="1" si="4"/>
        <v>27526.243549244002</v>
      </c>
      <c r="F41" s="749">
        <f t="shared" si="4"/>
        <v>1486.596467173898</v>
      </c>
      <c r="G41" s="749">
        <f t="shared" ca="1" si="4"/>
        <v>33216.973493331985</v>
      </c>
      <c r="H41" s="749">
        <f t="shared" si="4"/>
        <v>0</v>
      </c>
      <c r="I41" s="749">
        <f t="shared" si="4"/>
        <v>0</v>
      </c>
      <c r="J41" s="749">
        <f t="shared" si="4"/>
        <v>0</v>
      </c>
      <c r="K41" s="749">
        <f t="shared" si="4"/>
        <v>0.91938913185459137</v>
      </c>
      <c r="L41" s="749">
        <f t="shared" si="4"/>
        <v>0</v>
      </c>
      <c r="M41" s="749">
        <f t="shared" ca="1" si="4"/>
        <v>0</v>
      </c>
      <c r="N41" s="749">
        <f t="shared" si="4"/>
        <v>0</v>
      </c>
      <c r="O41" s="749">
        <f t="shared" ca="1" si="4"/>
        <v>0</v>
      </c>
      <c r="P41" s="749">
        <f t="shared" si="4"/>
        <v>0</v>
      </c>
      <c r="Q41" s="750">
        <f t="shared" si="4"/>
        <v>0</v>
      </c>
      <c r="R41" s="751">
        <f t="shared" ca="1" si="4"/>
        <v>83250.898169144464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579.15200667166232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579.15200667166232</v>
      </c>
    </row>
    <row r="45" spans="1:18" ht="15" thickBot="1">
      <c r="A45" s="876" t="s">
        <v>307</v>
      </c>
      <c r="B45" s="886"/>
      <c r="C45" s="713">
        <f ca="1">transport!B18</f>
        <v>4.1309915575535445</v>
      </c>
      <c r="D45" s="713">
        <f>transport!C18</f>
        <v>0</v>
      </c>
      <c r="E45" s="713">
        <f>transport!D18</f>
        <v>6.6274081660846322</v>
      </c>
      <c r="F45" s="713">
        <f>transport!E18</f>
        <v>273.93852816851683</v>
      </c>
      <c r="G45" s="713">
        <f>transport!F18</f>
        <v>0</v>
      </c>
      <c r="H45" s="713">
        <f>transport!G18</f>
        <v>81765.206079975571</v>
      </c>
      <c r="I45" s="713">
        <f>transport!H18</f>
        <v>12725.561620566223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94775.464628433954</v>
      </c>
    </row>
    <row r="46" spans="1:18" ht="15.75" thickBot="1">
      <c r="A46" s="874" t="s">
        <v>230</v>
      </c>
      <c r="B46" s="887"/>
      <c r="C46" s="749">
        <f t="shared" ref="C46:R46" ca="1" si="5">SUM(C43:C45)</f>
        <v>4.1309915575535445</v>
      </c>
      <c r="D46" s="749">
        <f t="shared" ca="1" si="5"/>
        <v>0</v>
      </c>
      <c r="E46" s="749">
        <f t="shared" si="5"/>
        <v>6.6274081660846322</v>
      </c>
      <c r="F46" s="749">
        <f t="shared" si="5"/>
        <v>273.93852816851683</v>
      </c>
      <c r="G46" s="749">
        <f t="shared" si="5"/>
        <v>0</v>
      </c>
      <c r="H46" s="749">
        <f t="shared" si="5"/>
        <v>82344.358086647233</v>
      </c>
      <c r="I46" s="749">
        <f t="shared" si="5"/>
        <v>12725.561620566223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95354.616635105616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269.85862340568656</v>
      </c>
      <c r="D48" s="704">
        <f ca="1">+landbouw!C12</f>
        <v>0</v>
      </c>
      <c r="E48" s="704">
        <f>+landbouw!D12</f>
        <v>810.27722195199999</v>
      </c>
      <c r="F48" s="704">
        <f>+landbouw!E12</f>
        <v>3.9380685408195846</v>
      </c>
      <c r="G48" s="704">
        <f>+landbouw!F12</f>
        <v>1268.2485011855706</v>
      </c>
      <c r="H48" s="704">
        <f>+landbouw!G12</f>
        <v>0</v>
      </c>
      <c r="I48" s="704">
        <f>+landbouw!H12</f>
        <v>0</v>
      </c>
      <c r="J48" s="704">
        <f>+landbouw!I12</f>
        <v>0</v>
      </c>
      <c r="K48" s="704">
        <f>+landbouw!J12</f>
        <v>73.29270307602178</v>
      </c>
      <c r="L48" s="704">
        <f>+landbouw!K12</f>
        <v>0</v>
      </c>
      <c r="M48" s="704">
        <f>+landbouw!L12</f>
        <v>0</v>
      </c>
      <c r="N48" s="704">
        <f>+landbouw!M12</f>
        <v>0</v>
      </c>
      <c r="O48" s="704">
        <f>+landbouw!N12</f>
        <v>0</v>
      </c>
      <c r="P48" s="704">
        <f>+landbouw!O12</f>
        <v>0</v>
      </c>
      <c r="Q48" s="705">
        <f>+landbouw!P12</f>
        <v>0</v>
      </c>
      <c r="R48" s="747">
        <f ca="1">SUM(C48:Q48)</f>
        <v>2425.615118160099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20972.135216108312</v>
      </c>
      <c r="D53" s="759">
        <f t="shared" ref="D53:Q53" ca="1" si="6">D41+D46+D48</f>
        <v>322.01966911764708</v>
      </c>
      <c r="E53" s="759">
        <f t="shared" ca="1" si="6"/>
        <v>28343.148179362088</v>
      </c>
      <c r="F53" s="759">
        <f t="shared" si="6"/>
        <v>1764.4730638832343</v>
      </c>
      <c r="G53" s="759">
        <f t="shared" ca="1" si="6"/>
        <v>34485.221994517553</v>
      </c>
      <c r="H53" s="759">
        <f t="shared" si="6"/>
        <v>82344.358086647233</v>
      </c>
      <c r="I53" s="759">
        <f t="shared" si="6"/>
        <v>12725.561620566223</v>
      </c>
      <c r="J53" s="759">
        <f t="shared" si="6"/>
        <v>0</v>
      </c>
      <c r="K53" s="759">
        <f t="shared" si="6"/>
        <v>74.212092207876367</v>
      </c>
      <c r="L53" s="759">
        <f t="shared" si="6"/>
        <v>0</v>
      </c>
      <c r="M53" s="759">
        <f t="shared" ca="1" si="6"/>
        <v>0</v>
      </c>
      <c r="N53" s="759">
        <f t="shared" si="6"/>
        <v>0</v>
      </c>
      <c r="O53" s="759">
        <f t="shared" ca="1" si="6"/>
        <v>0</v>
      </c>
      <c r="P53" s="759">
        <f>P41+P46+P48</f>
        <v>0</v>
      </c>
      <c r="Q53" s="760">
        <f t="shared" si="6"/>
        <v>0</v>
      </c>
      <c r="R53" s="761">
        <f ca="1">R41+R46+R48</f>
        <v>181031.12992241018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0.19601704309962628</v>
      </c>
      <c r="D55" s="824">
        <f t="shared" ca="1" si="7"/>
        <v>7.8529411764705875E-2</v>
      </c>
      <c r="E55" s="824">
        <f t="shared" ca="1" si="7"/>
        <v>0.20200000000000001</v>
      </c>
      <c r="F55" s="824">
        <f t="shared" si="7"/>
        <v>0.22700000000000004</v>
      </c>
      <c r="G55" s="824">
        <f t="shared" ca="1" si="7"/>
        <v>0.26699999999999996</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9745.0493356219795</v>
      </c>
      <c r="C66" s="781">
        <f>'lokale energieproductie'!B6</f>
        <v>9745.0493356219795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3645.0000000000005</v>
      </c>
      <c r="C67" s="780">
        <f>B67*IFERROR(SUM(J67:L67)/SUM(D67:M67),0)</f>
        <v>2733.75</v>
      </c>
      <c r="D67" s="812">
        <f>'lokale energieproductie'!C7</f>
        <v>0</v>
      </c>
      <c r="E67" s="813">
        <f>'lokale energieproductie'!D7</f>
        <v>0</v>
      </c>
      <c r="F67" s="813">
        <f>'lokale energieproductie'!E7</f>
        <v>1072.0588235294117</v>
      </c>
      <c r="G67" s="813">
        <f>'lokale energieproductie'!F7</f>
        <v>0</v>
      </c>
      <c r="H67" s="813">
        <f>'lokale energieproductie'!G7</f>
        <v>0</v>
      </c>
      <c r="I67" s="813">
        <f>'lokale energieproductie'!H7</f>
        <v>0</v>
      </c>
      <c r="J67" s="813">
        <f>'lokale energieproductie'!I7</f>
        <v>3216.1764705882347</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286.23970588235295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13390.049335621979</v>
      </c>
      <c r="C69" s="789">
        <f>SUM(C64:C68)</f>
        <v>12478.799335621979</v>
      </c>
      <c r="D69" s="790">
        <f t="shared" ref="D69:M69" si="8">SUM(D67:D68)</f>
        <v>0</v>
      </c>
      <c r="E69" s="790">
        <f t="shared" si="8"/>
        <v>0</v>
      </c>
      <c r="F69" s="790">
        <f t="shared" si="8"/>
        <v>1072.0588235294117</v>
      </c>
      <c r="G69" s="790">
        <f t="shared" si="8"/>
        <v>0</v>
      </c>
      <c r="H69" s="790">
        <f t="shared" si="8"/>
        <v>0</v>
      </c>
      <c r="I69" s="790">
        <f t="shared" si="8"/>
        <v>0</v>
      </c>
      <c r="J69" s="790">
        <f t="shared" si="8"/>
        <v>3216.1764705882347</v>
      </c>
      <c r="K69" s="790">
        <f t="shared" si="8"/>
        <v>0</v>
      </c>
      <c r="L69" s="790">
        <f t="shared" si="8"/>
        <v>0</v>
      </c>
      <c r="M69" s="918">
        <f t="shared" si="8"/>
        <v>0</v>
      </c>
      <c r="N69" s="791">
        <v>0</v>
      </c>
      <c r="O69" s="791">
        <f>SUM(O67:O68)</f>
        <v>286.23970588235295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4100.6250000000009</v>
      </c>
      <c r="C78" s="803">
        <f>B78*IFERROR(SUM(I78:L78)/SUM(D78:M78),0)</f>
        <v>3075.4687500000009</v>
      </c>
      <c r="D78" s="818">
        <f>'lokale energieproductie'!C16</f>
        <v>0</v>
      </c>
      <c r="E78" s="818">
        <f>'lokale energieproductie'!D16</f>
        <v>0</v>
      </c>
      <c r="F78" s="818">
        <f>'lokale energieproductie'!E16</f>
        <v>1206.0661764705883</v>
      </c>
      <c r="G78" s="818">
        <f>'lokale energieproductie'!F16</f>
        <v>0</v>
      </c>
      <c r="H78" s="818">
        <f>'lokale energieproductie'!G16</f>
        <v>0</v>
      </c>
      <c r="I78" s="818">
        <f>'lokale energieproductie'!H16</f>
        <v>0</v>
      </c>
      <c r="J78" s="818">
        <f>'lokale energieproductie'!I16</f>
        <v>3618.1985294117649</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322.01966911764708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4100.6250000000009</v>
      </c>
      <c r="C81" s="789">
        <f>SUM(C78:C80)</f>
        <v>3075.4687500000009</v>
      </c>
      <c r="D81" s="789">
        <f t="shared" ref="D81:P81" si="9">SUM(D78:D80)</f>
        <v>0</v>
      </c>
      <c r="E81" s="789">
        <f t="shared" si="9"/>
        <v>0</v>
      </c>
      <c r="F81" s="789">
        <f t="shared" si="9"/>
        <v>1206.0661764705883</v>
      </c>
      <c r="G81" s="789">
        <f t="shared" si="9"/>
        <v>0</v>
      </c>
      <c r="H81" s="789">
        <f t="shared" si="9"/>
        <v>0</v>
      </c>
      <c r="I81" s="789">
        <f t="shared" si="9"/>
        <v>0</v>
      </c>
      <c r="J81" s="789">
        <f t="shared" si="9"/>
        <v>3618.1985294117649</v>
      </c>
      <c r="K81" s="789">
        <f t="shared" si="9"/>
        <v>0</v>
      </c>
      <c r="L81" s="789">
        <f t="shared" si="9"/>
        <v>0</v>
      </c>
      <c r="M81" s="789">
        <f t="shared" si="9"/>
        <v>0</v>
      </c>
      <c r="N81" s="789">
        <v>0</v>
      </c>
      <c r="O81" s="789">
        <f>SUM(O78:O80)</f>
        <v>322.01966911764708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28387.425830965145</v>
      </c>
      <c r="C4" s="463">
        <f>huishoudens!C8</f>
        <v>0</v>
      </c>
      <c r="D4" s="463">
        <f>huishoudens!D8</f>
        <v>31142.213871999997</v>
      </c>
      <c r="E4" s="463">
        <f>huishoudens!E8</f>
        <v>2399.6289070411508</v>
      </c>
      <c r="F4" s="463">
        <f>huishoudens!F8</f>
        <v>67172.066205030147</v>
      </c>
      <c r="G4" s="463">
        <f>huishoudens!G8</f>
        <v>0</v>
      </c>
      <c r="H4" s="463">
        <f>huishoudens!H8</f>
        <v>0</v>
      </c>
      <c r="I4" s="463">
        <f>huishoudens!I8</f>
        <v>0</v>
      </c>
      <c r="J4" s="463">
        <f>huishoudens!J8</f>
        <v>0</v>
      </c>
      <c r="K4" s="463">
        <f>huishoudens!K8</f>
        <v>0</v>
      </c>
      <c r="L4" s="463">
        <f>huishoudens!L8</f>
        <v>0</v>
      </c>
      <c r="M4" s="463">
        <f>huishoudens!M8</f>
        <v>0</v>
      </c>
      <c r="N4" s="463">
        <f>huishoudens!N8</f>
        <v>19678.825457416431</v>
      </c>
      <c r="O4" s="463">
        <f>huishoudens!O8</f>
        <v>300.16000000000003</v>
      </c>
      <c r="P4" s="464">
        <f>huishoudens!P8</f>
        <v>915.2</v>
      </c>
      <c r="Q4" s="465">
        <f>SUM(B4:P4)</f>
        <v>149995.52027245288</v>
      </c>
    </row>
    <row r="5" spans="1:17">
      <c r="A5" s="462" t="s">
        <v>156</v>
      </c>
      <c r="B5" s="463">
        <f ca="1">tertiair!B16</f>
        <v>23919.249999999996</v>
      </c>
      <c r="C5" s="463">
        <f ca="1">tertiair!C16</f>
        <v>4100.6250000000009</v>
      </c>
      <c r="D5" s="463">
        <f ca="1">tertiair!D16</f>
        <v>15483.712156000001</v>
      </c>
      <c r="E5" s="463">
        <f>tertiair!E16</f>
        <v>196.92899095427802</v>
      </c>
      <c r="F5" s="463">
        <f ca="1">tertiair!F16</f>
        <v>1353.5666605412766</v>
      </c>
      <c r="G5" s="463">
        <f>tertiair!G16</f>
        <v>0</v>
      </c>
      <c r="H5" s="463">
        <f>tertiair!H16</f>
        <v>0</v>
      </c>
      <c r="I5" s="463">
        <f>tertiair!I16</f>
        <v>0</v>
      </c>
      <c r="J5" s="463">
        <f>tertiair!J16</f>
        <v>0</v>
      </c>
      <c r="K5" s="463">
        <f>tertiair!K16</f>
        <v>0</v>
      </c>
      <c r="L5" s="463">
        <f ca="1">tertiair!L16</f>
        <v>0</v>
      </c>
      <c r="M5" s="463">
        <f>tertiair!M16</f>
        <v>0</v>
      </c>
      <c r="N5" s="463">
        <f ca="1">tertiair!N16</f>
        <v>994.69478902032029</v>
      </c>
      <c r="O5" s="463">
        <f>tertiair!O16</f>
        <v>1.5633333333333335</v>
      </c>
      <c r="P5" s="464">
        <f>tertiair!P16</f>
        <v>19.066666666666666</v>
      </c>
      <c r="Q5" s="462">
        <f t="shared" ref="Q5:Q13" ca="1" si="0">SUM(B5:P5)</f>
        <v>46069.40759651587</v>
      </c>
    </row>
    <row r="6" spans="1:17">
      <c r="A6" s="462" t="s">
        <v>194</v>
      </c>
      <c r="B6" s="463">
        <f>'openbare verlichting'!B8</f>
        <v>1041.971</v>
      </c>
      <c r="C6" s="463"/>
      <c r="D6" s="463"/>
      <c r="E6" s="463"/>
      <c r="F6" s="463"/>
      <c r="G6" s="463"/>
      <c r="H6" s="463"/>
      <c r="I6" s="463"/>
      <c r="J6" s="463"/>
      <c r="K6" s="463"/>
      <c r="L6" s="463"/>
      <c r="M6" s="463"/>
      <c r="N6" s="463"/>
      <c r="O6" s="463"/>
      <c r="P6" s="464"/>
      <c r="Q6" s="462">
        <f t="shared" si="0"/>
        <v>1041.971</v>
      </c>
    </row>
    <row r="7" spans="1:17">
      <c r="A7" s="462" t="s">
        <v>112</v>
      </c>
      <c r="B7" s="463">
        <f>landbouw!B8</f>
        <v>1376.71</v>
      </c>
      <c r="C7" s="463">
        <f>landbouw!C8</f>
        <v>0</v>
      </c>
      <c r="D7" s="463">
        <f>landbouw!D8</f>
        <v>4011.2733759999996</v>
      </c>
      <c r="E7" s="463">
        <f>landbouw!E8</f>
        <v>17.348319563081869</v>
      </c>
      <c r="F7" s="463">
        <f>landbouw!F8</f>
        <v>4749.9943864628112</v>
      </c>
      <c r="G7" s="463">
        <f>landbouw!G8</f>
        <v>0</v>
      </c>
      <c r="H7" s="463">
        <f>landbouw!H8</f>
        <v>0</v>
      </c>
      <c r="I7" s="463">
        <f>landbouw!I8</f>
        <v>0</v>
      </c>
      <c r="J7" s="463">
        <f>landbouw!J8</f>
        <v>207.04153411305589</v>
      </c>
      <c r="K7" s="463">
        <f>landbouw!K8</f>
        <v>0</v>
      </c>
      <c r="L7" s="463">
        <f>landbouw!L8</f>
        <v>0</v>
      </c>
      <c r="M7" s="463">
        <f>landbouw!M8</f>
        <v>0</v>
      </c>
      <c r="N7" s="463">
        <f>landbouw!N8</f>
        <v>0</v>
      </c>
      <c r="O7" s="463">
        <f>landbouw!O8</f>
        <v>0</v>
      </c>
      <c r="P7" s="464">
        <f>landbouw!P8</f>
        <v>0</v>
      </c>
      <c r="Q7" s="462">
        <f t="shared" si="0"/>
        <v>10362.367616138949</v>
      </c>
    </row>
    <row r="8" spans="1:17">
      <c r="A8" s="462" t="s">
        <v>657</v>
      </c>
      <c r="B8" s="463">
        <f>industrie!B18</f>
        <v>52244.955000000002</v>
      </c>
      <c r="C8" s="463">
        <f>industrie!C18</f>
        <v>0</v>
      </c>
      <c r="D8" s="463">
        <f>industrie!D18</f>
        <v>89642.606394000002</v>
      </c>
      <c r="E8" s="463">
        <f>industrie!E18</f>
        <v>3952.3252173080855</v>
      </c>
      <c r="F8" s="463">
        <f>industrie!F18</f>
        <v>55882.507558892939</v>
      </c>
      <c r="G8" s="463">
        <f>industrie!G18</f>
        <v>0</v>
      </c>
      <c r="H8" s="463">
        <f>industrie!H18</f>
        <v>0</v>
      </c>
      <c r="I8" s="463">
        <f>industrie!I18</f>
        <v>0</v>
      </c>
      <c r="J8" s="463">
        <f>industrie!J18</f>
        <v>2.5971444402672073</v>
      </c>
      <c r="K8" s="463">
        <f>industrie!K18</f>
        <v>0</v>
      </c>
      <c r="L8" s="463">
        <f>industrie!L18</f>
        <v>0</v>
      </c>
      <c r="M8" s="463">
        <f>industrie!M18</f>
        <v>0</v>
      </c>
      <c r="N8" s="463">
        <f>industrie!N18</f>
        <v>11443.567703857569</v>
      </c>
      <c r="O8" s="463">
        <f>industrie!O18</f>
        <v>0</v>
      </c>
      <c r="P8" s="464">
        <f>industrie!P18</f>
        <v>0</v>
      </c>
      <c r="Q8" s="462">
        <f t="shared" si="0"/>
        <v>213168.5590184989</v>
      </c>
    </row>
    <row r="9" spans="1:17" s="468" customFormat="1">
      <c r="A9" s="466" t="s">
        <v>574</v>
      </c>
      <c r="B9" s="467">
        <f>transport!B14</f>
        <v>21.074655000554998</v>
      </c>
      <c r="C9" s="467">
        <f>transport!C14</f>
        <v>0</v>
      </c>
      <c r="D9" s="467">
        <f>transport!D14</f>
        <v>32.808951317250653</v>
      </c>
      <c r="E9" s="467">
        <f>transport!E14</f>
        <v>1206.7776571300301</v>
      </c>
      <c r="F9" s="467">
        <f>transport!F14</f>
        <v>0</v>
      </c>
      <c r="G9" s="467">
        <f>transport!G14</f>
        <v>306236.72689129424</v>
      </c>
      <c r="H9" s="467">
        <f>transport!H14</f>
        <v>51106.673174964752</v>
      </c>
      <c r="I9" s="467">
        <f>transport!I14</f>
        <v>0</v>
      </c>
      <c r="J9" s="467">
        <f>transport!J14</f>
        <v>0</v>
      </c>
      <c r="K9" s="467">
        <f>transport!K14</f>
        <v>0</v>
      </c>
      <c r="L9" s="467">
        <f>transport!L14</f>
        <v>0</v>
      </c>
      <c r="M9" s="467">
        <f>transport!M14</f>
        <v>16002.6610637829</v>
      </c>
      <c r="N9" s="467">
        <f>transport!N14</f>
        <v>0</v>
      </c>
      <c r="O9" s="467">
        <f>transport!O14</f>
        <v>0</v>
      </c>
      <c r="P9" s="467">
        <f>transport!P14</f>
        <v>0</v>
      </c>
      <c r="Q9" s="466">
        <f>SUM(B9:P9)</f>
        <v>374606.72239348968</v>
      </c>
    </row>
    <row r="10" spans="1:17">
      <c r="A10" s="462" t="s">
        <v>564</v>
      </c>
      <c r="B10" s="463">
        <f>transport!B54</f>
        <v>0</v>
      </c>
      <c r="C10" s="463">
        <f>transport!C54</f>
        <v>0</v>
      </c>
      <c r="D10" s="463">
        <f>transport!D54</f>
        <v>0</v>
      </c>
      <c r="E10" s="463">
        <f>transport!E54</f>
        <v>0</v>
      </c>
      <c r="F10" s="463">
        <f>transport!F54</f>
        <v>0</v>
      </c>
      <c r="G10" s="463">
        <f>transport!G54</f>
        <v>2169.1086392197089</v>
      </c>
      <c r="H10" s="463">
        <f>transport!H54</f>
        <v>0</v>
      </c>
      <c r="I10" s="463">
        <f>transport!I54</f>
        <v>0</v>
      </c>
      <c r="J10" s="463">
        <f>transport!J54</f>
        <v>0</v>
      </c>
      <c r="K10" s="463">
        <f>transport!K54</f>
        <v>0</v>
      </c>
      <c r="L10" s="463">
        <f>transport!L54</f>
        <v>0</v>
      </c>
      <c r="M10" s="463">
        <f>transport!M54</f>
        <v>96.46556664444762</v>
      </c>
      <c r="N10" s="463">
        <f>transport!N54</f>
        <v>0</v>
      </c>
      <c r="O10" s="463">
        <f>transport!O54</f>
        <v>0</v>
      </c>
      <c r="P10" s="464">
        <f>transport!P54</f>
        <v>0</v>
      </c>
      <c r="Q10" s="462">
        <f t="shared" si="0"/>
        <v>2265.5742058641567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106991.38648596569</v>
      </c>
      <c r="C14" s="473">
        <f t="shared" ref="C14:Q14" ca="1" si="1">SUM(C4:C13)</f>
        <v>4100.6250000000009</v>
      </c>
      <c r="D14" s="473">
        <f t="shared" ca="1" si="1"/>
        <v>140312.61474931726</v>
      </c>
      <c r="E14" s="473">
        <f t="shared" si="1"/>
        <v>7773.0090919966269</v>
      </c>
      <c r="F14" s="473">
        <f t="shared" ca="1" si="1"/>
        <v>129158.13481092718</v>
      </c>
      <c r="G14" s="473">
        <f t="shared" si="1"/>
        <v>308405.83553051396</v>
      </c>
      <c r="H14" s="473">
        <f t="shared" si="1"/>
        <v>51106.673174964752</v>
      </c>
      <c r="I14" s="473">
        <f t="shared" si="1"/>
        <v>0</v>
      </c>
      <c r="J14" s="473">
        <f t="shared" si="1"/>
        <v>209.6386785533231</v>
      </c>
      <c r="K14" s="473">
        <f t="shared" si="1"/>
        <v>0</v>
      </c>
      <c r="L14" s="473">
        <f t="shared" ca="1" si="1"/>
        <v>0</v>
      </c>
      <c r="M14" s="473">
        <f t="shared" si="1"/>
        <v>16099.126630427347</v>
      </c>
      <c r="N14" s="473">
        <f t="shared" ca="1" si="1"/>
        <v>32117.087950294321</v>
      </c>
      <c r="O14" s="473">
        <f t="shared" si="1"/>
        <v>301.72333333333336</v>
      </c>
      <c r="P14" s="474">
        <f t="shared" si="1"/>
        <v>934.26666666666677</v>
      </c>
      <c r="Q14" s="474">
        <f t="shared" ca="1" si="1"/>
        <v>797510.12210296036</v>
      </c>
    </row>
    <row r="16" spans="1:17">
      <c r="A16" s="476" t="s">
        <v>569</v>
      </c>
      <c r="B16" s="829">
        <f ca="1">huishoudens!B10</f>
        <v>0.19601704309962631</v>
      </c>
      <c r="C16" s="829">
        <f ca="1">huishoudens!C10</f>
        <v>7.8529411764705875E-2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5564.41927259574</v>
      </c>
      <c r="C21" s="463">
        <f t="shared" ref="C21:C30" ca="1" si="3">C4*$C$16</f>
        <v>0</v>
      </c>
      <c r="D21" s="463">
        <f t="shared" ref="D21:D30" si="4">D4*$D$16</f>
        <v>6290.7272021439994</v>
      </c>
      <c r="E21" s="463">
        <f t="shared" ref="E21:E30" si="5">E4*$E$16</f>
        <v>544.71576189834127</v>
      </c>
      <c r="F21" s="463">
        <f t="shared" ref="F21:F30" si="6">F4*$F$16</f>
        <v>17934.941676743052</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30334.803913381133</v>
      </c>
    </row>
    <row r="22" spans="1:17">
      <c r="A22" s="462" t="s">
        <v>156</v>
      </c>
      <c r="B22" s="463">
        <f t="shared" ca="1" si="2"/>
        <v>4688.5806581607358</v>
      </c>
      <c r="C22" s="463">
        <f t="shared" ca="1" si="3"/>
        <v>322.01966911764708</v>
      </c>
      <c r="D22" s="463">
        <f t="shared" ca="1" si="4"/>
        <v>3127.7098555120006</v>
      </c>
      <c r="E22" s="463">
        <f t="shared" si="5"/>
        <v>44.702880946621114</v>
      </c>
      <c r="F22" s="463">
        <f t="shared" ca="1" si="6"/>
        <v>361.4022983645209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8544.4153621015248</v>
      </c>
    </row>
    <row r="23" spans="1:17">
      <c r="A23" s="462" t="s">
        <v>194</v>
      </c>
      <c r="B23" s="463">
        <f t="shared" ca="1" si="2"/>
        <v>204.24407441556073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204.24407441556073</v>
      </c>
    </row>
    <row r="24" spans="1:17">
      <c r="A24" s="462" t="s">
        <v>112</v>
      </c>
      <c r="B24" s="463">
        <f t="shared" ca="1" si="2"/>
        <v>269.85862340568656</v>
      </c>
      <c r="C24" s="463">
        <f t="shared" ca="1" si="3"/>
        <v>0</v>
      </c>
      <c r="D24" s="463">
        <f t="shared" si="4"/>
        <v>810.27722195199999</v>
      </c>
      <c r="E24" s="463">
        <f t="shared" si="5"/>
        <v>3.9380685408195846</v>
      </c>
      <c r="F24" s="463">
        <f t="shared" si="6"/>
        <v>1268.2485011855706</v>
      </c>
      <c r="G24" s="463">
        <f t="shared" si="7"/>
        <v>0</v>
      </c>
      <c r="H24" s="463">
        <f t="shared" si="8"/>
        <v>0</v>
      </c>
      <c r="I24" s="463">
        <f t="shared" si="9"/>
        <v>0</v>
      </c>
      <c r="J24" s="463">
        <f t="shared" si="10"/>
        <v>73.29270307602178</v>
      </c>
      <c r="K24" s="463">
        <f t="shared" si="11"/>
        <v>0</v>
      </c>
      <c r="L24" s="463">
        <f t="shared" si="12"/>
        <v>0</v>
      </c>
      <c r="M24" s="463">
        <f t="shared" si="13"/>
        <v>0</v>
      </c>
      <c r="N24" s="463">
        <f t="shared" si="14"/>
        <v>0</v>
      </c>
      <c r="O24" s="463">
        <f t="shared" si="15"/>
        <v>0</v>
      </c>
      <c r="P24" s="464">
        <f t="shared" si="16"/>
        <v>0</v>
      </c>
      <c r="Q24" s="462">
        <f t="shared" ca="1" si="17"/>
        <v>2425.615118160099</v>
      </c>
    </row>
    <row r="25" spans="1:17">
      <c r="A25" s="462" t="s">
        <v>657</v>
      </c>
      <c r="B25" s="463">
        <f t="shared" ca="1" si="2"/>
        <v>10240.901595973037</v>
      </c>
      <c r="C25" s="463">
        <f t="shared" ca="1" si="3"/>
        <v>0</v>
      </c>
      <c r="D25" s="463">
        <f t="shared" si="4"/>
        <v>18107.806491588002</v>
      </c>
      <c r="E25" s="463">
        <f t="shared" si="5"/>
        <v>897.17782432893546</v>
      </c>
      <c r="F25" s="463">
        <f t="shared" si="6"/>
        <v>14920.629518224416</v>
      </c>
      <c r="G25" s="463">
        <f t="shared" si="7"/>
        <v>0</v>
      </c>
      <c r="H25" s="463">
        <f t="shared" si="8"/>
        <v>0</v>
      </c>
      <c r="I25" s="463">
        <f t="shared" si="9"/>
        <v>0</v>
      </c>
      <c r="J25" s="463">
        <f t="shared" si="10"/>
        <v>0.91938913185459137</v>
      </c>
      <c r="K25" s="463">
        <f t="shared" si="11"/>
        <v>0</v>
      </c>
      <c r="L25" s="463">
        <f t="shared" si="12"/>
        <v>0</v>
      </c>
      <c r="M25" s="463">
        <f t="shared" si="13"/>
        <v>0</v>
      </c>
      <c r="N25" s="463">
        <f t="shared" si="14"/>
        <v>0</v>
      </c>
      <c r="O25" s="463">
        <f t="shared" si="15"/>
        <v>0</v>
      </c>
      <c r="P25" s="464">
        <f t="shared" si="16"/>
        <v>0</v>
      </c>
      <c r="Q25" s="462">
        <f t="shared" ca="1" si="17"/>
        <v>44167.434819246249</v>
      </c>
    </row>
    <row r="26" spans="1:17" s="468" customFormat="1">
      <c r="A26" s="466" t="s">
        <v>574</v>
      </c>
      <c r="B26" s="823">
        <f t="shared" ca="1" si="2"/>
        <v>4.1309915575535445</v>
      </c>
      <c r="C26" s="467">
        <f t="shared" ca="1" si="3"/>
        <v>0</v>
      </c>
      <c r="D26" s="467">
        <f t="shared" si="4"/>
        <v>6.6274081660846322</v>
      </c>
      <c r="E26" s="467">
        <f t="shared" si="5"/>
        <v>273.93852816851683</v>
      </c>
      <c r="F26" s="467">
        <f t="shared" si="6"/>
        <v>0</v>
      </c>
      <c r="G26" s="467">
        <f t="shared" si="7"/>
        <v>81765.206079975571</v>
      </c>
      <c r="H26" s="467">
        <f t="shared" si="8"/>
        <v>12725.561620566223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94775.464628433954</v>
      </c>
    </row>
    <row r="27" spans="1:17">
      <c r="A27" s="462" t="s">
        <v>564</v>
      </c>
      <c r="B27" s="463">
        <f t="shared" ca="1" si="2"/>
        <v>0</v>
      </c>
      <c r="C27" s="463">
        <f t="shared" ca="1" si="3"/>
        <v>0</v>
      </c>
      <c r="D27" s="463">
        <f t="shared" si="4"/>
        <v>0</v>
      </c>
      <c r="E27" s="463">
        <f t="shared" si="5"/>
        <v>0</v>
      </c>
      <c r="F27" s="463">
        <f t="shared" si="6"/>
        <v>0</v>
      </c>
      <c r="G27" s="463">
        <f t="shared" si="7"/>
        <v>579.15200667166232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579.15200667166232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20972.135216108312</v>
      </c>
      <c r="C31" s="473">
        <f t="shared" ca="1" si="18"/>
        <v>322.01966911764708</v>
      </c>
      <c r="D31" s="473">
        <f t="shared" ca="1" si="18"/>
        <v>28343.148179362088</v>
      </c>
      <c r="E31" s="473">
        <f t="shared" si="18"/>
        <v>1764.4730638832343</v>
      </c>
      <c r="F31" s="473">
        <f t="shared" ca="1" si="18"/>
        <v>34485.22199451756</v>
      </c>
      <c r="G31" s="473">
        <f t="shared" si="18"/>
        <v>82344.358086647233</v>
      </c>
      <c r="H31" s="473">
        <f t="shared" si="18"/>
        <v>12725.561620566223</v>
      </c>
      <c r="I31" s="473">
        <f t="shared" si="18"/>
        <v>0</v>
      </c>
      <c r="J31" s="473">
        <f t="shared" si="18"/>
        <v>74.212092207876367</v>
      </c>
      <c r="K31" s="473">
        <f t="shared" si="18"/>
        <v>0</v>
      </c>
      <c r="L31" s="473">
        <f t="shared" ca="1" si="18"/>
        <v>0</v>
      </c>
      <c r="M31" s="473">
        <f t="shared" si="18"/>
        <v>0</v>
      </c>
      <c r="N31" s="473">
        <f t="shared" ca="1" si="18"/>
        <v>0</v>
      </c>
      <c r="O31" s="473">
        <f t="shared" si="18"/>
        <v>0</v>
      </c>
      <c r="P31" s="474">
        <f t="shared" si="18"/>
        <v>0</v>
      </c>
      <c r="Q31" s="474">
        <f t="shared" ca="1" si="18"/>
        <v>181031.12992241021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0.19601704309962631</v>
      </c>
      <c r="C17" s="513">
        <f ca="1">'EF ele_warmte'!B22</f>
        <v>7.8529411764705875E-2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0.19601704309962631</v>
      </c>
      <c r="C17" s="513">
        <f ca="1">'EF ele_warmte'!B22</f>
        <v>7.8529411764705875E-2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0.19601704309962631</v>
      </c>
      <c r="C29" s="514">
        <f ca="1">'EF ele_warmte'!B22</f>
        <v>7.8529411764705875E-2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2018-06-27T09:32:41Z</dcterms:modified>
</cp:coreProperties>
</file>