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12" i="13"/>
  <c r="D37" i="14" s="1"/>
  <c r="D41" s="1"/>
  <c r="D53" s="1"/>
  <c r="D55" s="1"/>
  <c r="C21" i="48"/>
  <c r="C31" s="1"/>
  <c r="C26"/>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<sst xmlns="http://schemas.openxmlformats.org/spreadsheetml/2006/main" count="1979" uniqueCount="849">
  <si>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</si>
  <si>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</si>
  <si>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</si>
  <si>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</si>
  <si>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</si>
  <si>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</si>
  <si>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</si>
  <si>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</si>
  <si>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</si>
  <si>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</si>
  <si>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</si>
  <si>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</si>
  <si>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</si>
  <si>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</si>
  <si>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</si>
  <si>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</si>
  <si>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</si>
  <si>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</si>
  <si>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</si>
  <si>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</si>
  <si>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</si>
  <si>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</si>
  <si>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</si>
  <si>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</si>
  <si>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</si>
  <si>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</si>
  <si>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</si>
  <si>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</si>
  <si>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</si>
  <si>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</si>
  <si>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</si>
  <si>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</si>
  <si>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</si>
  <si>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</si>
  <si>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</si>
  <si>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</si>
  <si>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</si>
  <si>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</si>
  <si>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</si>
  <si>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</si>
  <si>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</si>
  <si>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</si>
  <si>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</si>
  <si>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</si>
  <si>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</si>
  <si>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</si>
  <si>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</si>
  <si>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</si>
  <si>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</si>
  <si>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</si>
  <si>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</si>
  <si>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</si>
  <si>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</si>
  <si>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</si>
  <si>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</si>
  <si>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</si>
  <si>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</si>
  <si>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</si>
  <si>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</si>
  <si>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</si>
  <si>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</si>
  <si>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</si>
  <si>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</si>
  <si>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</si>
  <si>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</si>
  <si>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</si>
  <si>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</si>
  <si>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</si>
  <si>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</si>
  <si>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</si>
  <si>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</si>
  <si>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</si>
  <si>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</si>
  <si>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</si>
  <si>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</si>
  <si>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</si>
  <si>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</si>
  <si>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</si>
  <si>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</si>
  <si>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</si>
  <si>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</si>
  <si>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</si>
  <si>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</si>
  <si>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</si>
  <si>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</si>
  <si>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</si>
  <si>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</si>
  <si>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</si>
  <si>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</si>
  <si>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</si>
  <si>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</si>
  <si>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</si>
  <si>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</si>
  <si>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</si>
  <si>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</si>
  <si>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</si>
  <si>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</si>
  <si>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</si>
  <si>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</si>
  <si>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</si>
  <si>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</si>
  <si>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</si>
  <si>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</si>
  <si>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</si>
  <si>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</si>
  <si>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</si>
  <si>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</si>
  <si>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</si>
  <si>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</si>
  <si>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</si>
  <si>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</si>
  <si>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</si>
  <si>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</si>
  <si>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</si>
  <si>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</si>
  <si>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</si>
  <si>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</si>
  <si>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</si>
  <si>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</si>
  <si>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</si>
  <si>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</si>
  <si>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</si>
  <si>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</si>
  <si>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</si>
  <si>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</si>
  <si>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</si>
  <si>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</si>
  <si>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</si>
  <si>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</si>
  <si>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</si>
  <si>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</si>
  <si>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</si>
  <si>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</si>
  <si>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</si>
  <si>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</si>
  <si>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</si>
  <si>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</si>
  <si>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</si>
  <si>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</si>
  <si>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</si>
  <si>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</si>
  <si>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</si>
  <si>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</si>
  <si>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</si>
  <si>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</si>
  <si>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</si>
  <si>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</si>
  <si>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</si>
  <si>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</si>
  <si>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</si>
  <si>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</si>
  <si>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</si>
  <si>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</si>
  <si>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</si>
  <si>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</si>
  <si>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</si>
  <si>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</si>
  <si>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</si>
  <si>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</si>
  <si>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</si>
  <si>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</si>
  <si>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</si>
  <si>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</si>
  <si>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</si>
  <si>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</si>
  <si>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</si>
  <si>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</si>
  <si>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</si>
  <si>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</si>
  <si>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</si>
  <si>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</si>
  <si>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</si>
  <si>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</si>
  <si>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</si>
  <si>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</si>
  <si>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</si>
  <si>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</si>
  <si>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</si>
  <si>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</si>
  <si>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</si>
  <si>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</si>
  <si>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</si>
  <si>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</si>
  <si>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</si>
  <si>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</si>
  <si>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</si>
  <si>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</si>
  <si>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</si>
  <si>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</si>
  <si>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</si>
  <si>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</si>
  <si>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</si>
  <si>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</si>
  <si>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</si>
  <si>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</si>
  <si>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</si>
  <si>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</si>
  <si>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</si>
  <si>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</si>
  <si>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</si>
  <si>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</si>
  <si>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</si>
  <si>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</si>
  <si>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</si>
  <si>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</si>
  <si>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</si>
  <si>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</si>
  <si>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</si>
  <si>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</si>
  <si>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</si>
  <si>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</si>
  <si>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</si>
  <si>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</si>
  <si>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</si>
  <si>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</si>
  <si>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</si>
  <si>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</si>
  <si>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</si>
  <si>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</si>
  <si>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</si>
  <si>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</si>
  <si>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</si>
  <si>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</si>
  <si>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</si>
  <si>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</si>
  <si>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</si>
  <si>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</si>
  <si>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</si>
  <si>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</si>
  <si>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</si>
  <si>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</si>
  <si>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</si>
  <si>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</si>
  <si>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</si>
  <si>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</si>
  <si>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</si>
  <si>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</si>
  <si>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</si>
  <si>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</si>
  <si>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</si>
  <si>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</si>
  <si>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</si>
  <si>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</si>
  <si>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</si>
  <si>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</si>
  <si>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</si>
  <si>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</si>
  <si>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</si>
  <si>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</si>
  <si>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</si>
  <si>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</si>
  <si>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</si>
  <si>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</si>
  <si>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</si>
  <si>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</si>
  <si>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</si>
  <si>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</si>
  <si>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</si>
  <si>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</si>
  <si>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</si>
  <si>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</si>
  <si>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</si>
  <si>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</si>
  <si>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</si>
  <si>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</si>
  <si>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</si>
  <si>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</si>
  <si>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</si>
  <si>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</si>
  <si>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</si>
  <si>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</si>
  <si>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</si>
  <si>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</si>
  <si>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</si>
  <si>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</si>
  <si>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</si>
  <si>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</si>
  <si>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</si>
  <si>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</si>
  <si>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</si>
  <si>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</si>
  <si>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</si>
  <si>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</si>
  <si>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</si>
  <si>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</si>
  <si>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</si>
  <si>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</si>
  <si>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</si>
  <si>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</si>
  <si>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</si>
  <si>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</si>
  <si>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</si>
  <si>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</si>
  <si>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</si>
  <si>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</si>
  <si>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</si>
  <si>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</si>
  <si>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</si>
  <si>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</si>
  <si>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</si>
  <si>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</si>
  <si>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</si>
  <si>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</si>
  <si>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</si>
  <si>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</si>
  <si>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</si>
  <si>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</si>
  <si>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</si>
  <si>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</si>
  <si>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</si>
  <si>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</si>
  <si>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</si>
  <si>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</si>
  <si>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</si>
  <si>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</si>
  <si>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</si>
  <si>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</si>
  <si>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</si>
  <si>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</si>
  <si>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</si>
  <si>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</si>
  <si>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</si>
  <si>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</si>
  <si>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</si>
  <si>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</si>
  <si>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</si>
  <si>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</si>
  <si>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</si>
  <si>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</si>
  <si>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</si>
  <si>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</si>
  <si>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</si>
  <si>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</si>
  <si>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</si>
  <si>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</si>
  <si>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</si>
  <si>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</si>
  <si>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</si>
  <si>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</si>
  <si>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</si>
  <si>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</si>
  <si>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</si>
  <si>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</si>
  <si>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</si>
  <si>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</si>
  <si>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</si>
  <si>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</si>
  <si>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</si>
  <si>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</si>
  <si>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</si>
  <si>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</si>
  <si>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</si>
  <si>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</si>
  <si>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</si>
  <si>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</si>
  <si>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</si>
  <si>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</si>
  <si>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</si>
  <si>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</si>
  <si>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</si>
  <si>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</si>
  <si>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</si>
  <si>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</si>
  <si>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</si>
  <si>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</si>
  <si>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</si>
  <si>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</si>
  <si>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</si>
  <si>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</si>
  <si>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</si>
  <si>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</si>
  <si>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</si>
  <si>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</si>
  <si>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</si>
  <si>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</si>
  <si>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</si>
  <si>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</si>
  <si>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</si>
  <si>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</si>
  <si>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</si>
  <si>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</si>
  <si>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</si>
  <si>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</si>
  <si>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</si>
  <si>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</si>
  <si>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</si>
  <si>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</si>
  <si>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</si>
  <si>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</si>
  <si>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</si>
  <si>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</si>
  <si>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</si>
  <si>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</si>
  <si>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</si>
  <si>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</si>
  <si>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</si>
  <si>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</si>
  <si>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</si>
  <si>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</si>
  <si>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</si>
  <si>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</si>
  <si>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</si>
  <si>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</si>
  <si>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</si>
  <si>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</si>
  <si>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</si>
  <si>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</si>
  <si>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</si>
  <si>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</si>
  <si>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</si>
  <si>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</si>
  <si>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</si>
  <si>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</si>
  <si>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</si>
  <si>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</si>
  <si>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</si>
  <si>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</si>
  <si>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</si>
  <si>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</si>
  <si>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</si>
  <si>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</si>
  <si>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</si>
  <si>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</si>
  <si>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</si>
  <si>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</si>
  <si>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</si>
  <si>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</si>
  <si>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</si>
  <si>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</si>
  <si>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</si>
  <si>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</si>
  <si>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</si>
  <si>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</si>
  <si>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</si>
  <si>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</si>
  <si>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</si>
  <si>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</si>
  <si>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</si>
  <si>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</si>
  <si>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</si>
  <si>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</si>
  <si>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</si>
  <si>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</si>
  <si>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</si>
  <si>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</si>
  <si>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</si>
  <si>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</si>
  <si>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</si>
  <si>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</si>
  <si>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</si>
  <si>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</si>
  <si>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</si>
  <si>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</si>
  <si>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</si>
  <si>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</si>
  <si>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</si>
  <si>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</si>
  <si>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</si>
  <si>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</si>
  <si>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</si>
  <si>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</si>
  <si>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</si>
  <si>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</si>
  <si>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</si>
  <si>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</si>
  <si>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</si>
  <si>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</si>
  <si>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</si>
  <si>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</si>
  <si>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</si>
  <si>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</si>
  <si>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</si>
  <si>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</si>
  <si>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</si>
  <si>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</si>
  <si>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</si>
  <si>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</si>
  <si>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</si>
  <si>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</si>
  <si>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</si>
  <si>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</si>
  <si>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</si>
  <si>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</si>
  <si>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</si>
  <si>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</si>
  <si>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</si>
  <si>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</si>
  <si>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</si>
  <si>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</si>
  <si>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</si>
  <si>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</si>
  <si>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</si>
  <si>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</si>
  <si>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</si>
  <si>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</si>
  <si>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</si>
  <si>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</si>
  <si>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</si>
  <si>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</si>
  <si>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</si>
  <si>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</si>
  <si>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</si>
  <si>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</si>
  <si>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</si>
  <si>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</si>
  <si>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</si>
  <si>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</si>
  <si>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</si>
  <si>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</si>
  <si>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</si>
  <si>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</si>
  <si>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</si>
  <si>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</si>
  <si>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</si>
  <si>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</si>
  <si>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</si>
  <si>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</si>
  <si>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</si>
  <si>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</si>
  <si>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</si>
  <si>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</si>
  <si>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</si>
  <si>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</si>
  <si>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</si>
  <si>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</si>
  <si>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</si>
  <si>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</si>
  <si>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</si>
  <si>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</si>
  <si>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</si>
  <si>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</si>
  <si>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</si>
  <si>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</si>
  <si>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</si>
  <si>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</si>
  <si>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</si>
  <si>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</si>
  <si>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</si>
  <si>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</si>
  <si>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</si>
  <si>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</si>
  <si>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</si>
  <si>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</si>
  <si>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</si>
  <si>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</si>
  <si>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</si>
  <si>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</si>
  <si>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</si>
  <si>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</si>
  <si>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</si>
  <si>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</si>
  <si>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</si>
  <si>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</si>
  <si>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</si>
  <si>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</si>
  <si>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</si>
  <si>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</si>
  <si>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</si>
  <si>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</si>
  <si>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</si>
  <si>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</si>
  <si>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</si>
  <si>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</si>
  <si>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</si>
  <si>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</si>
  <si>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</si>
  <si>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</si>
  <si>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</si>
  <si>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</si>
  <si>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</si>
  <si>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</si>
  <si>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</si>
  <si>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</si>
  <si>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</si>
  <si>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</si>
  <si>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</si>
  <si>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</si>
  <si>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</si>
  <si>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</si>
  <si>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</si>
  <si>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</si>
  <si>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</si>
  <si>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</si>
  <si>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</si>
  <si>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</si>
  <si>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</si>
  <si>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</si>
  <si>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</si>
  <si>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</si>
  <si>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</si>
  <si>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</si>
  <si>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</si>
  <si>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</si>
  <si>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</si>
  <si>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</si>
  <si>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</si>
  <si>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</si>
  <si>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</si>
  <si>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</si>
  <si>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</si>
  <si>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</si>
  <si>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</si>
  <si>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</si>
  <si>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</si>
  <si>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</si>
  <si>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</si>
  <si>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</si>
  <si>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</si>
  <si>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</si>
  <si>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</si>
  <si>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</si>
  <si>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</si>
  <si>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</si>
  <si>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</si>
  <si>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</si>
  <si>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</si>
  <si>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</si>
  <si>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</si>
  <si>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</si>
  <si>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</si>
  <si>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</si>
  <si>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</si>
  <si>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</si>
  <si>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</si>
  <si>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</si>
  <si>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</si>
  <si>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</si>
  <si>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</si>
  <si>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</si>
  <si>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</si>
  <si>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</si>
  <si>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</si>
  <si>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</si>
  <si>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</si>
  <si>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</si>
  <si>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</si>
  <si>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</si>
  <si>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</si>
  <si>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</si>
  <si>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</si>
  <si>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</si>
  <si>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</si>
  <si>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</si>
  <si>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</si>
  <si>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</si>
  <si>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</si>
  <si>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</si>
  <si>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</si>
  <si>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</si>
  <si>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</si>
  <si>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</si>
  <si>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</si>
  <si>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</si>
  <si>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</si>
  <si>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</si>
  <si>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</si>
  <si>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</si>
  <si>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</si>
  <si>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</si>
  <si>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</si>
  <si>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</si>
  <si>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</si>
  <si>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</si>
  <si>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</si>
  <si>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</si>
  <si>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</si>
  <si>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</si>
  <si>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</si>
  <si>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</si>
  <si>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</si>
  <si>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</si>
  <si>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</si>
  <si>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</si>
  <si>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</si>
  <si>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</si>
  <si>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</si>
  <si>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</si>
  <si>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</si>
  <si>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</si>
  <si>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</si>
  <si>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</si>
  <si>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</si>
  <si>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</si>
  <si>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</si>
  <si>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</si>
  <si>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</si>
  <si>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</si>
  <si>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</si>
  <si>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</si>
  <si>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</si>
  <si>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</si>
  <si>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</si>
  <si>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</si>
  <si>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</si>
  <si>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</si>
  <si>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</si>
  <si>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</si>
  <si>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</si>
  <si>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</si>
  <si>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</si>
  <si>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</si>
  <si>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</si>
  <si>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</si>
  <si>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</si>
  <si>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</si>
  <si>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</si>
  <si>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</si>
  <si>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</si>
  <si>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</si>
  <si>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</si>
  <si>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</si>
  <si>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</si>
  <si>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</si>
  <si>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</si>
  <si>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</si>
  <si>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</si>
  <si>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</si>
  <si>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</si>
  <si>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</si>
  <si>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</si>
  <si>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</si>
  <si>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</si>
  <si>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</si>
  <si>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</si>
  <si>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</si>
  <si>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</si>
  <si>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</si>
  <si>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</si>
  <si>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</si>
  <si>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</si>
  <si>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</si>
  <si>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</si>
  <si>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</si>
  <si>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</si>
  <si>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</si>
  <si>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</si>
  <si>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</si>
  <si>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</si>
  <si>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</si>
  <si>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</si>
  <si>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</si>
  <si>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</si>
  <si>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</si>
  <si>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</si>
  <si>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</si>
  <si>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</si>
  <si>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</si>
  <si>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</si>
  <si>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</si>
  <si>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</si>
  <si>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</si>
  <si>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</si>
  <si>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</si>
  <si>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</si>
  <si>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</si>
  <si>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</si>
  <si>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</si>
  <si>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</si>
  <si>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</si>
  <si>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</si>
  <si>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</si>
  <si>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</si>
  <si>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</si>
  <si>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</si>
  <si>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</si>
  <si>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</si>
  <si>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</si>
  <si>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</si>
  <si>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</si>
  <si>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</si>
  <si>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</si>
  <si>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</si>
  <si>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</si>
  <si>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</si>
  <si>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</si>
  <si>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</si>
  <si>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</si>
  <si>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</si>
  <si>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</si>
  <si>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</si>
  <si>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</si>
  <si>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</si>
  <si>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</si>
  <si>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</si>
  <si>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</si>
  <si>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</si>
  <si>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</si>
  <si>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</si>
  <si>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</si>
  <si>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</si>
  <si>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</si>
  <si>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</si>
  <si>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</si>
  <si>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</si>
  <si>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</si>
  <si>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</si>
  <si>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</si>
  <si>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</si>
  <si>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</si>
  <si>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</si>
  <si>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</si>
  <si>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</si>
  <si>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</si>
  <si>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</si>
  <si>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</si>
  <si>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</si>
  <si>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</si>
  <si>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</si>
  <si>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</si>
  <si>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</si>
  <si>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</si>
  <si>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</si>
  <si>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</si>
  <si>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</si>
  <si>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</si>
  <si>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</si>
  <si>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</si>
  <si>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</si>
  <si>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</si>
  <si>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</si>
  <si>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</si>
  <si>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</si>
  <si>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</si>
  <si>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</si>
  <si>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</si>
  <si>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</si>
  <si>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</si>
  <si>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</si>
  <si>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</si>
  <si>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</si>
  <si>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</si>
  <si>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</si>
  <si>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</si>
  <si>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46020</t>
  </si>
  <si>
    <t>SINT-GILLIS-WAAS</t>
  </si>
  <si>
    <t>Cultuurgrond (ha)</t>
  </si>
  <si>
    <t>Paarden&amp;pony's 200 - 600 kg</t>
  </si>
  <si>
    <t>Paarden&amp;pony's &lt; 200 kg</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</si>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</sst>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165536.43105153239</c:v>
                </c:pt>
                <c:pt idx="1">
                  <c:v>37620.231173126849</c:v>
                </c:pt>
                <c:pt idx="2">
                  <c:v>1201.2070000000001</c:v>
                </c:pt>
                <c:pt idx="3">
                  <c:v>66846.664917651506</c:v>
                </c:pt>
                <c:pt idx="4">
                  <c:v>24708.794821961212</c:v>
                </c:pt>
                <c:pt idx="5">
                  <c:v>184391.64732326468</c:v>
                </c:pt>
                <c:pt idx="6">
                  <c:v>1976.8671841081439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165536.43105153239</c:v>
                </c:pt>
                <c:pt idx="1">
                  <c:v>37620.231173126849</c:v>
                </c:pt>
                <c:pt idx="2">
                  <c:v>1201.2070000000001</c:v>
                </c:pt>
                <c:pt idx="3">
                  <c:v>66846.664917651506</c:v>
                </c:pt>
                <c:pt idx="4">
                  <c:v>24708.794821961212</c:v>
                </c:pt>
                <c:pt idx="5">
                  <c:v>184391.64732326468</c:v>
                </c:pt>
                <c:pt idx="6">
                  <c:v>1976.8671841081439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26149.211622318173</c:v>
                </c:pt>
                <c:pt idx="1">
                  <c:v>6986.4524663392758</c:v>
                </c:pt>
                <c:pt idx="2">
                  <c:v>196.69024614537733</c:v>
                </c:pt>
                <c:pt idx="3">
                  <c:v>16115.22107605328</c:v>
                </c:pt>
                <c:pt idx="4">
                  <c:v>4661.3105036414117</c:v>
                </c:pt>
                <c:pt idx="5">
                  <c:v>46681.447256375635</c:v>
                </c:pt>
                <c:pt idx="6">
                  <c:v>505.34941368777152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26149.211622318173</c:v>
                </c:pt>
                <c:pt idx="1">
                  <c:v>6986.4524663392758</c:v>
                </c:pt>
                <c:pt idx="2">
                  <c:v>196.69024614537733</c:v>
                </c:pt>
                <c:pt idx="3">
                  <c:v>16115.22107605328</c:v>
                </c:pt>
                <c:pt idx="4">
                  <c:v>4661.3105036414117</c:v>
                </c:pt>
                <c:pt idx="5">
                  <c:v>46681.447256375635</c:v>
                </c:pt>
                <c:pt idx="6">
                  <c:v>505.34941368777152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46020</v>
      </c>
      <c r="B6" s="398"/>
      <c r="C6" s="399"/>
    </row>
    <row r="7" spans="1:7" s="396" customFormat="1" ht="15.75" customHeight="1">
      <c r="A7" s="400" t="str">
        <f>txtMunicipality</f>
        <v>SINT-GILLIS-WAAS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7485</v>
      </c>
      <c r="C9" s="338">
        <v>8336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3620</v>
      </c>
    </row>
    <row r="15" spans="1:6">
      <c r="A15" s="1212" t="s">
        <v>184</v>
      </c>
      <c r="B15" s="335">
        <v>15</v>
      </c>
    </row>
    <row r="16" spans="1:6">
      <c r="A16" s="1212" t="s">
        <v>6</v>
      </c>
      <c r="B16" s="335">
        <v>682</v>
      </c>
    </row>
    <row r="17" spans="1:6">
      <c r="A17" s="1212" t="s">
        <v>7</v>
      </c>
      <c r="B17" s="335">
        <v>792</v>
      </c>
    </row>
    <row r="18" spans="1:6">
      <c r="A18" s="1212" t="s">
        <v>8</v>
      </c>
      <c r="B18" s="335">
        <v>1323</v>
      </c>
    </row>
    <row r="19" spans="1:6">
      <c r="A19" s="1212" t="s">
        <v>9</v>
      </c>
      <c r="B19" s="335">
        <v>1271</v>
      </c>
    </row>
    <row r="20" spans="1:6">
      <c r="A20" s="1212" t="s">
        <v>10</v>
      </c>
      <c r="B20" s="335">
        <v>758</v>
      </c>
    </row>
    <row r="21" spans="1:6">
      <c r="A21" s="1212" t="s">
        <v>11</v>
      </c>
      <c r="B21" s="335">
        <v>7687</v>
      </c>
    </row>
    <row r="22" spans="1:6">
      <c r="A22" s="1212" t="s">
        <v>12</v>
      </c>
      <c r="B22" s="335">
        <v>29017</v>
      </c>
    </row>
    <row r="23" spans="1:6">
      <c r="A23" s="1212" t="s">
        <v>13</v>
      </c>
      <c r="B23" s="335">
        <v>368</v>
      </c>
    </row>
    <row r="24" spans="1:6">
      <c r="A24" s="1212" t="s">
        <v>14</v>
      </c>
      <c r="B24" s="335">
        <v>150</v>
      </c>
    </row>
    <row r="25" spans="1:6">
      <c r="A25" s="1212" t="s">
        <v>15</v>
      </c>
      <c r="B25" s="335">
        <v>1871</v>
      </c>
    </row>
    <row r="26" spans="1:6">
      <c r="A26" s="1212" t="s">
        <v>16</v>
      </c>
      <c r="B26" s="335">
        <v>275</v>
      </c>
    </row>
    <row r="27" spans="1:6">
      <c r="A27" s="1212" t="s">
        <v>17</v>
      </c>
      <c r="B27" s="335">
        <v>2643</v>
      </c>
    </row>
    <row r="28" spans="1:6" s="341" customFormat="1">
      <c r="A28" s="1213" t="s">
        <v>18</v>
      </c>
      <c r="B28" s="1213">
        <v>320531</v>
      </c>
    </row>
    <row r="29" spans="1:6">
      <c r="A29" s="1213" t="s">
        <v>836</v>
      </c>
      <c r="B29" s="1213">
        <v>339</v>
      </c>
      <c r="C29" s="341"/>
      <c r="D29" s="341"/>
      <c r="E29" s="341"/>
      <c r="F29" s="341"/>
    </row>
    <row r="30" spans="1:6">
      <c r="A30" s="1208" t="s">
        <v>837</v>
      </c>
      <c r="B30" s="1208">
        <v>64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329738.63127184601</v>
      </c>
      <c r="E38" s="335">
        <v>6</v>
      </c>
      <c r="F38" s="335">
        <v>221562.63037816001</v>
      </c>
    </row>
    <row r="39" spans="1:6">
      <c r="A39" s="1212" t="s">
        <v>30</v>
      </c>
      <c r="B39" s="1212" t="s">
        <v>31</v>
      </c>
      <c r="C39" s="335">
        <v>5312</v>
      </c>
      <c r="D39" s="335">
        <v>101242762.557639</v>
      </c>
      <c r="E39" s="335">
        <v>7288</v>
      </c>
      <c r="F39" s="335">
        <v>29966814.155572701</v>
      </c>
    </row>
    <row r="40" spans="1:6">
      <c r="A40" s="1212" t="s">
        <v>30</v>
      </c>
      <c r="B40" s="1212" t="s">
        <v>29</v>
      </c>
      <c r="C40" s="335">
        <v>0</v>
      </c>
      <c r="D40" s="335">
        <v>0</v>
      </c>
      <c r="E40" s="335">
        <v>0</v>
      </c>
      <c r="F40" s="335">
        <v>0</v>
      </c>
    </row>
    <row r="41" spans="1:6">
      <c r="A41" s="1212" t="s">
        <v>32</v>
      </c>
      <c r="B41" s="1212" t="s">
        <v>33</v>
      </c>
      <c r="C41" s="335">
        <v>83</v>
      </c>
      <c r="D41" s="335">
        <v>2618584.9879610301</v>
      </c>
      <c r="E41" s="335">
        <v>151</v>
      </c>
      <c r="F41" s="335">
        <v>3102193.3741172799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7</v>
      </c>
      <c r="D44" s="335">
        <v>314685.12533412402</v>
      </c>
      <c r="E44" s="335">
        <v>24</v>
      </c>
      <c r="F44" s="335">
        <v>796086.86992094398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22</v>
      </c>
      <c r="D48" s="335">
        <v>6450479.08205368</v>
      </c>
      <c r="E48" s="335">
        <v>35</v>
      </c>
      <c r="F48" s="335">
        <v>2341699.59135669</v>
      </c>
    </row>
    <row r="49" spans="1:6">
      <c r="A49" s="1212" t="s">
        <v>32</v>
      </c>
      <c r="B49" s="1212" t="s">
        <v>40</v>
      </c>
      <c r="C49" s="335">
        <v>0</v>
      </c>
      <c r="D49" s="335">
        <v>0</v>
      </c>
      <c r="E49" s="335">
        <v>0</v>
      </c>
      <c r="F49" s="335">
        <v>0</v>
      </c>
    </row>
    <row r="50" spans="1:6">
      <c r="A50" s="1212" t="s">
        <v>32</v>
      </c>
      <c r="B50" s="1212" t="s">
        <v>41</v>
      </c>
      <c r="C50" s="335">
        <v>7</v>
      </c>
      <c r="D50" s="335">
        <v>1643490.17839417</v>
      </c>
      <c r="E50" s="335">
        <v>13</v>
      </c>
      <c r="F50" s="335">
        <v>1119161.1564223799</v>
      </c>
    </row>
    <row r="51" spans="1:6">
      <c r="A51" s="1212" t="s">
        <v>42</v>
      </c>
      <c r="B51" s="1212" t="s">
        <v>43</v>
      </c>
      <c r="C51" s="335">
        <v>28</v>
      </c>
      <c r="D51" s="335">
        <v>22947356.234490499</v>
      </c>
      <c r="E51" s="335">
        <v>159</v>
      </c>
      <c r="F51" s="335">
        <v>4540300.6494901301</v>
      </c>
    </row>
    <row r="52" spans="1:6">
      <c r="A52" s="1212" t="s">
        <v>42</v>
      </c>
      <c r="B52" s="1212" t="s">
        <v>29</v>
      </c>
      <c r="C52" s="335">
        <v>6</v>
      </c>
      <c r="D52" s="335">
        <v>402690.57783119503</v>
      </c>
      <c r="E52" s="335">
        <v>6</v>
      </c>
      <c r="F52" s="335">
        <v>585524.73238418601</v>
      </c>
    </row>
    <row r="53" spans="1:6">
      <c r="A53" s="1212" t="s">
        <v>44</v>
      </c>
      <c r="B53" s="1212" t="s">
        <v>45</v>
      </c>
      <c r="C53" s="335">
        <v>133</v>
      </c>
      <c r="D53" s="335">
        <v>2659886.3017468499</v>
      </c>
      <c r="E53" s="335">
        <v>239</v>
      </c>
      <c r="F53" s="335">
        <v>1109984.1607009</v>
      </c>
    </row>
    <row r="54" spans="1:6">
      <c r="A54" s="1212" t="s">
        <v>46</v>
      </c>
      <c r="B54" s="1212" t="s">
        <v>47</v>
      </c>
      <c r="C54" s="335">
        <v>0</v>
      </c>
      <c r="D54" s="335">
        <v>0</v>
      </c>
      <c r="E54" s="335">
        <v>1</v>
      </c>
      <c r="F54" s="335">
        <v>1201207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50</v>
      </c>
      <c r="D57" s="335">
        <v>5842361.19147663</v>
      </c>
      <c r="E57" s="335">
        <v>86</v>
      </c>
      <c r="F57" s="335">
        <v>1763841.0790991001</v>
      </c>
    </row>
    <row r="58" spans="1:6">
      <c r="A58" s="1212" t="s">
        <v>49</v>
      </c>
      <c r="B58" s="1212" t="s">
        <v>51</v>
      </c>
      <c r="C58" s="335">
        <v>24</v>
      </c>
      <c r="D58" s="335">
        <v>527421.23858930904</v>
      </c>
      <c r="E58" s="335">
        <v>37</v>
      </c>
      <c r="F58" s="335">
        <v>208795.17427820599</v>
      </c>
    </row>
    <row r="59" spans="1:6">
      <c r="A59" s="1212" t="s">
        <v>49</v>
      </c>
      <c r="B59" s="1212" t="s">
        <v>52</v>
      </c>
      <c r="C59" s="335">
        <v>99</v>
      </c>
      <c r="D59" s="335">
        <v>4251936.6392968502</v>
      </c>
      <c r="E59" s="335">
        <v>169</v>
      </c>
      <c r="F59" s="335">
        <v>4403105.7670226898</v>
      </c>
    </row>
    <row r="60" spans="1:6">
      <c r="A60" s="1212" t="s">
        <v>49</v>
      </c>
      <c r="B60" s="1212" t="s">
        <v>53</v>
      </c>
      <c r="C60" s="335">
        <v>49</v>
      </c>
      <c r="D60" s="335">
        <v>2040226.8825223099</v>
      </c>
      <c r="E60" s="335">
        <v>61</v>
      </c>
      <c r="F60" s="335">
        <v>1275480.72002267</v>
      </c>
    </row>
    <row r="61" spans="1:6">
      <c r="A61" s="1212" t="s">
        <v>49</v>
      </c>
      <c r="B61" s="1212" t="s">
        <v>54</v>
      </c>
      <c r="C61" s="335">
        <v>126</v>
      </c>
      <c r="D61" s="335">
        <v>4380833.2063737204</v>
      </c>
      <c r="E61" s="335">
        <v>255</v>
      </c>
      <c r="F61" s="335">
        <v>3852367.7862714399</v>
      </c>
    </row>
    <row r="62" spans="1:6">
      <c r="A62" s="1212" t="s">
        <v>49</v>
      </c>
      <c r="B62" s="1212" t="s">
        <v>55</v>
      </c>
      <c r="C62" s="335">
        <v>7</v>
      </c>
      <c r="D62" s="335">
        <v>420916.20190542203</v>
      </c>
      <c r="E62" s="335">
        <v>10</v>
      </c>
      <c r="F62" s="335">
        <v>155631.24980692301</v>
      </c>
    </row>
    <row r="63" spans="1:6">
      <c r="A63" s="1212" t="s">
        <v>49</v>
      </c>
      <c r="B63" s="1212" t="s">
        <v>29</v>
      </c>
      <c r="C63" s="335">
        <v>81</v>
      </c>
      <c r="D63" s="335">
        <v>4703215.9093080098</v>
      </c>
      <c r="E63" s="335">
        <v>87</v>
      </c>
      <c r="F63" s="335">
        <v>1726486.89642028</v>
      </c>
    </row>
    <row r="64" spans="1:6">
      <c r="A64" s="1212" t="s">
        <v>56</v>
      </c>
      <c r="B64" s="1212" t="s">
        <v>57</v>
      </c>
      <c r="C64" s="335">
        <v>0</v>
      </c>
      <c r="D64" s="335">
        <v>0</v>
      </c>
      <c r="E64" s="335">
        <v>0</v>
      </c>
      <c r="F64" s="335">
        <v>0</v>
      </c>
    </row>
    <row r="65" spans="1:6">
      <c r="A65" s="1212" t="s">
        <v>56</v>
      </c>
      <c r="B65" s="1212" t="s">
        <v>29</v>
      </c>
      <c r="C65" s="335">
        <v>1</v>
      </c>
      <c r="D65" s="335">
        <v>8348.2988056400009</v>
      </c>
      <c r="E65" s="335">
        <v>2</v>
      </c>
      <c r="F65" s="335">
        <v>9460.7648927591999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10</v>
      </c>
      <c r="D68" s="335">
        <v>246780.92792777001</v>
      </c>
      <c r="E68" s="335">
        <v>26</v>
      </c>
      <c r="F68" s="335">
        <v>259121.45064289201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26904841</v>
      </c>
      <c r="E73" s="335">
        <v>28839477.694350749</v>
      </c>
    </row>
    <row r="74" spans="1:6">
      <c r="A74" s="1212" t="s">
        <v>64</v>
      </c>
      <c r="B74" s="1212" t="s">
        <v>727</v>
      </c>
      <c r="C74" s="1212" t="s">
        <v>728</v>
      </c>
      <c r="D74" s="335">
        <v>3526778.6319320733</v>
      </c>
      <c r="E74" s="335">
        <v>3876585.7764337813</v>
      </c>
    </row>
    <row r="75" spans="1:6">
      <c r="A75" s="1212" t="s">
        <v>65</v>
      </c>
      <c r="B75" s="1212" t="s">
        <v>725</v>
      </c>
      <c r="C75" s="1212" t="s">
        <v>729</v>
      </c>
      <c r="D75" s="335">
        <v>51351231</v>
      </c>
      <c r="E75" s="335">
        <v>49406784.109727189</v>
      </c>
    </row>
    <row r="76" spans="1:6">
      <c r="A76" s="1212" t="s">
        <v>65</v>
      </c>
      <c r="B76" s="1212" t="s">
        <v>727</v>
      </c>
      <c r="C76" s="1212" t="s">
        <v>730</v>
      </c>
      <c r="D76" s="335">
        <v>3052697.6319320733</v>
      </c>
      <c r="E76" s="335">
        <v>2950371.0362824891</v>
      </c>
    </row>
    <row r="77" spans="1:6">
      <c r="A77" s="1212" t="s">
        <v>66</v>
      </c>
      <c r="B77" s="1212" t="s">
        <v>725</v>
      </c>
      <c r="C77" s="1212" t="s">
        <v>731</v>
      </c>
      <c r="D77" s="335">
        <v>78294894</v>
      </c>
      <c r="E77" s="335">
        <v>94596188.484877437</v>
      </c>
    </row>
    <row r="78" spans="1:6">
      <c r="A78" s="1208" t="s">
        <v>66</v>
      </c>
      <c r="B78" s="1208" t="s">
        <v>727</v>
      </c>
      <c r="C78" s="1208" t="s">
        <v>732</v>
      </c>
      <c r="D78" s="1208">
        <v>18454483</v>
      </c>
      <c r="E78" s="1208">
        <v>22754244.362929415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522264.73613585351</v>
      </c>
      <c r="C83" s="335">
        <v>521206.22457315883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11316.950500269095</v>
      </c>
    </row>
    <row r="91" spans="1:6">
      <c r="A91" s="1212" t="s">
        <v>68</v>
      </c>
      <c r="B91" s="335">
        <v>4582.8470662847167</v>
      </c>
    </row>
    <row r="92" spans="1:6">
      <c r="A92" s="1208" t="s">
        <v>69</v>
      </c>
      <c r="B92" s="338">
        <v>2345.0416952596383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3398</v>
      </c>
    </row>
    <row r="98" spans="1:6">
      <c r="A98" s="1212" t="s">
        <v>72</v>
      </c>
      <c r="B98" s="335">
        <v>2</v>
      </c>
    </row>
    <row r="99" spans="1:6">
      <c r="A99" s="1212" t="s">
        <v>73</v>
      </c>
      <c r="B99" s="335">
        <v>114</v>
      </c>
    </row>
    <row r="100" spans="1:6">
      <c r="A100" s="1212" t="s">
        <v>74</v>
      </c>
      <c r="B100" s="335">
        <v>499</v>
      </c>
    </row>
    <row r="101" spans="1:6">
      <c r="A101" s="1212" t="s">
        <v>75</v>
      </c>
      <c r="B101" s="335">
        <v>141</v>
      </c>
    </row>
    <row r="102" spans="1:6">
      <c r="A102" s="1212" t="s">
        <v>76</v>
      </c>
      <c r="B102" s="335">
        <v>152</v>
      </c>
    </row>
    <row r="103" spans="1:6">
      <c r="A103" s="1212" t="s">
        <v>77</v>
      </c>
      <c r="B103" s="335">
        <v>229</v>
      </c>
    </row>
    <row r="104" spans="1:6">
      <c r="A104" s="1212" t="s">
        <v>78</v>
      </c>
      <c r="B104" s="335">
        <v>1855</v>
      </c>
    </row>
    <row r="105" spans="1:6">
      <c r="A105" s="1208" t="s">
        <v>79</v>
      </c>
      <c r="B105" s="1208">
        <v>18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23</v>
      </c>
      <c r="C123" s="335">
        <v>23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86</v>
      </c>
    </row>
    <row r="130" spans="1:6">
      <c r="A130" s="1212" t="s">
        <v>295</v>
      </c>
      <c r="B130" s="335">
        <v>0</v>
      </c>
    </row>
    <row r="131" spans="1:6">
      <c r="A131" s="1212" t="s">
        <v>296</v>
      </c>
      <c r="B131" s="335">
        <v>0</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61630.091568963049</v>
      </c>
      <c r="C3" s="43" t="s">
        <v>170</v>
      </c>
      <c r="D3" s="43"/>
      <c r="E3" s="156"/>
      <c r="F3" s="43"/>
      <c r="G3" s="43"/>
      <c r="H3" s="43"/>
      <c r="I3" s="43"/>
      <c r="J3" s="43"/>
      <c r="K3" s="96"/>
    </row>
    <row r="4" spans="1:11">
      <c r="A4" s="366" t="s">
        <v>171</v>
      </c>
      <c r="B4" s="49">
        <f>IF(ISERROR('SEAP template'!B69),0,'SEAP template'!B69)</f>
        <v>48484.839261813453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7186.4470588235299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0.1637438394426417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10266.352941176472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43200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1201.2070000000001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1201.2070000000001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0.1637438394426417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196.69024614537733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29966.814155572702</v>
      </c>
      <c r="C5" s="17">
        <f>IF(ISERROR('Eigen informatie GS &amp; warmtenet'!B57),0,'Eigen informatie GS &amp; warmtenet'!B57)</f>
        <v>0</v>
      </c>
      <c r="D5" s="30">
        <f>(SUM(HH_hh_gas_kWh,HH_rest_gas_kWh)/1000)*0.902</f>
        <v>91320.971826990382</v>
      </c>
      <c r="E5" s="17">
        <f>B46*B57</f>
        <v>6623.6702109241796</v>
      </c>
      <c r="F5" s="17">
        <f>B51*B62</f>
        <v>0</v>
      </c>
      <c r="G5" s="18"/>
      <c r="H5" s="17"/>
      <c r="I5" s="17"/>
      <c r="J5" s="17">
        <f>B50*B61+C50*C61</f>
        <v>1529.6836030419236</v>
      </c>
      <c r="K5" s="17"/>
      <c r="L5" s="17"/>
      <c r="M5" s="17"/>
      <c r="N5" s="17">
        <f>B48*B59+C48*C59</f>
        <v>30712.840855385133</v>
      </c>
      <c r="O5" s="17">
        <f>B69*B70*B71</f>
        <v>170.40333333333334</v>
      </c>
      <c r="P5" s="17">
        <f>B77*B78*B79/1000-B77*B78*B79/1000/B80</f>
        <v>629.20000000000005</v>
      </c>
    </row>
    <row r="6" spans="1:16">
      <c r="A6" s="16" t="s">
        <v>634</v>
      </c>
      <c r="B6" s="831">
        <f>kWh_PV_kleiner_dan_10kW</f>
        <v>4582.8470662847167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34549.661221857416</v>
      </c>
      <c r="C8" s="21">
        <f>C5</f>
        <v>0</v>
      </c>
      <c r="D8" s="21">
        <f>D5</f>
        <v>91320.971826990382</v>
      </c>
      <c r="E8" s="21">
        <f>E5</f>
        <v>6623.6702109241796</v>
      </c>
      <c r="F8" s="21">
        <f>F5</f>
        <v>0</v>
      </c>
      <c r="G8" s="21"/>
      <c r="H8" s="21"/>
      <c r="I8" s="21"/>
      <c r="J8" s="21">
        <f>J5</f>
        <v>1529.6836030419236</v>
      </c>
      <c r="K8" s="21"/>
      <c r="L8" s="21">
        <f>L5</f>
        <v>0</v>
      </c>
      <c r="M8" s="21">
        <f>M5</f>
        <v>0</v>
      </c>
      <c r="N8" s="21">
        <f>N5</f>
        <v>30712.840855385133</v>
      </c>
      <c r="O8" s="21">
        <f>O5</f>
        <v>170.40333333333334</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0.1637438394426417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5657.2941799094851</v>
      </c>
      <c r="C12" s="23">
        <f ca="1">C10*C8</f>
        <v>0</v>
      </c>
      <c r="D12" s="23">
        <f>D8*D10</f>
        <v>18446.836309052058</v>
      </c>
      <c r="E12" s="23">
        <f>E10*E8</f>
        <v>1503.5731378797889</v>
      </c>
      <c r="F12" s="23">
        <f>F10*F8</f>
        <v>0</v>
      </c>
      <c r="G12" s="23"/>
      <c r="H12" s="23"/>
      <c r="I12" s="23"/>
      <c r="J12" s="23">
        <f>J10*J8</f>
        <v>541.50799547684096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3398</v>
      </c>
      <c r="C18" s="168" t="s">
        <v>111</v>
      </c>
      <c r="D18" s="230"/>
      <c r="E18" s="15"/>
    </row>
    <row r="19" spans="1:7">
      <c r="A19" s="173" t="s">
        <v>72</v>
      </c>
      <c r="B19" s="37">
        <f>aantalw2001_ander</f>
        <v>2</v>
      </c>
      <c r="C19" s="168" t="s">
        <v>111</v>
      </c>
      <c r="D19" s="231"/>
      <c r="E19" s="15"/>
    </row>
    <row r="20" spans="1:7">
      <c r="A20" s="173" t="s">
        <v>73</v>
      </c>
      <c r="B20" s="37">
        <f>aantalw2001_propaan</f>
        <v>114</v>
      </c>
      <c r="C20" s="169">
        <f>IF(ISERROR(B20/SUM($B$20,$B$21,$B$22)*100),0,B20/SUM($B$20,$B$21,$B$22)*100)</f>
        <v>15.119363395225463</v>
      </c>
      <c r="D20" s="231"/>
      <c r="E20" s="15"/>
    </row>
    <row r="21" spans="1:7">
      <c r="A21" s="173" t="s">
        <v>74</v>
      </c>
      <c r="B21" s="37">
        <f>aantalw2001_elektriciteit</f>
        <v>499</v>
      </c>
      <c r="C21" s="169">
        <f>IF(ISERROR(B21/SUM($B$20,$B$21,$B$22)*100),0,B21/SUM($B$20,$B$21,$B$22)*100)</f>
        <v>66.180371352785144</v>
      </c>
      <c r="D21" s="231"/>
      <c r="E21" s="15"/>
    </row>
    <row r="22" spans="1:7">
      <c r="A22" s="173" t="s">
        <v>75</v>
      </c>
      <c r="B22" s="37">
        <f>aantalw2001_hout</f>
        <v>141</v>
      </c>
      <c r="C22" s="169">
        <f>IF(ISERROR(B22/SUM($B$20,$B$21,$B$22)*100),0,B22/SUM($B$20,$B$21,$B$22)*100)</f>
        <v>18.700265251989389</v>
      </c>
      <c r="D22" s="231"/>
      <c r="E22" s="15"/>
    </row>
    <row r="23" spans="1:7">
      <c r="A23" s="173" t="s">
        <v>76</v>
      </c>
      <c r="B23" s="37">
        <f>aantalw2001_niet_gespec</f>
        <v>152</v>
      </c>
      <c r="C23" s="168" t="s">
        <v>111</v>
      </c>
      <c r="D23" s="230"/>
      <c r="E23" s="15"/>
    </row>
    <row r="24" spans="1:7">
      <c r="A24" s="173" t="s">
        <v>77</v>
      </c>
      <c r="B24" s="37">
        <f>aantalw2001_steenkool</f>
        <v>229</v>
      </c>
      <c r="C24" s="168" t="s">
        <v>111</v>
      </c>
      <c r="D24" s="231"/>
      <c r="E24" s="15"/>
    </row>
    <row r="25" spans="1:7">
      <c r="A25" s="173" t="s">
        <v>78</v>
      </c>
      <c r="B25" s="37">
        <f>aantalw2001_stookolie</f>
        <v>1855</v>
      </c>
      <c r="C25" s="168" t="s">
        <v>111</v>
      </c>
      <c r="D25" s="230"/>
      <c r="E25" s="52"/>
    </row>
    <row r="26" spans="1:7">
      <c r="A26" s="173" t="s">
        <v>79</v>
      </c>
      <c r="B26" s="37">
        <f>aantalw2001_WP</f>
        <v>18</v>
      </c>
      <c r="C26" s="168" t="s">
        <v>111</v>
      </c>
      <c r="D26" s="230"/>
      <c r="E26" s="15"/>
    </row>
    <row r="27" spans="1:7" s="15" customFormat="1">
      <c r="A27" s="173"/>
      <c r="B27" s="29"/>
      <c r="C27" s="36"/>
      <c r="D27" s="230"/>
    </row>
    <row r="28" spans="1:7" s="15" customFormat="1">
      <c r="A28" s="232" t="s">
        <v>745</v>
      </c>
      <c r="B28" s="37">
        <f>aantalHuishoudens2011</f>
        <v>7485</v>
      </c>
      <c r="C28" s="36"/>
      <c r="D28" s="230"/>
    </row>
    <row r="29" spans="1:7" s="15" customFormat="1">
      <c r="A29" s="232" t="s">
        <v>746</v>
      </c>
      <c r="B29" s="37">
        <f>SUM(HH_hh_gas_aantal,HH_rest_gas_aantal)</f>
        <v>5312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5312</v>
      </c>
      <c r="C32" s="169">
        <f>IF(ISERROR(B32/SUM($B$32,$B$34,$B$35,$B$36,$B$38,$B$39)*100),0,B32/SUM($B$32,$B$34,$B$35,$B$36,$B$38,$B$39)*100)</f>
        <v>71.282877079978519</v>
      </c>
      <c r="D32" s="235"/>
      <c r="G32" s="15"/>
    </row>
    <row r="33" spans="1:7">
      <c r="A33" s="173" t="s">
        <v>72</v>
      </c>
      <c r="B33" s="34" t="s">
        <v>111</v>
      </c>
      <c r="C33" s="169"/>
      <c r="D33" s="235"/>
      <c r="G33" s="15"/>
    </row>
    <row r="34" spans="1:7">
      <c r="A34" s="173" t="s">
        <v>73</v>
      </c>
      <c r="B34" s="33">
        <f>IF((($B$28-$B$32-$B$39-$B$77-$B$38)*C20/100)&lt;0,0,($B$28-$B$32-$B$39-$B$77-$B$38)*C20/100)</f>
        <v>317.86949602122013</v>
      </c>
      <c r="C34" s="169">
        <f>IF(ISERROR(B34/SUM($B$32,$B$34,$B$35,$B$36,$B$38,$B$39)*100),0,B34/SUM($B$32,$B$34,$B$35,$B$36,$B$38,$B$39)*100)</f>
        <v>4.2655595279283434</v>
      </c>
      <c r="D34" s="235"/>
      <c r="G34" s="15"/>
    </row>
    <row r="35" spans="1:7">
      <c r="A35" s="173" t="s">
        <v>74</v>
      </c>
      <c r="B35" s="33">
        <f>IF((($B$28-$B$32-$B$39-$B$77-$B$38)*C21/100)&lt;0,0,($B$28-$B$32-$B$39-$B$77-$B$38)*C21/100)</f>
        <v>1391.376127320955</v>
      </c>
      <c r="C35" s="169">
        <f>IF(ISERROR(B35/SUM($B$32,$B$34,$B$35,$B$36,$B$38,$B$39)*100),0,B35/SUM($B$32,$B$34,$B$35,$B$36,$B$38,$B$39)*100)</f>
        <v>18.671177231896873</v>
      </c>
      <c r="D35" s="235"/>
      <c r="G35" s="15"/>
    </row>
    <row r="36" spans="1:7">
      <c r="A36" s="173" t="s">
        <v>75</v>
      </c>
      <c r="B36" s="33">
        <f>IF((($B$28-$B$32-$B$39-$B$77-$B$38)*C22/100)&lt;0,0,($B$28-$B$32-$B$39-$B$77-$B$38)*C22/100)</f>
        <v>393.15437665782491</v>
      </c>
      <c r="C36" s="169">
        <f>IF(ISERROR(B36/SUM($B$32,$B$34,$B$35,$B$36,$B$38,$B$39)*100),0,B36/SUM($B$32,$B$34,$B$35,$B$36,$B$38,$B$39)*100)</f>
        <v>5.2758236266482141</v>
      </c>
      <c r="D36" s="235"/>
      <c r="G36" s="15"/>
    </row>
    <row r="37" spans="1:7">
      <c r="A37" s="173" t="s">
        <v>76</v>
      </c>
      <c r="B37" s="34" t="s">
        <v>111</v>
      </c>
      <c r="C37" s="169"/>
      <c r="D37" s="175"/>
      <c r="G37" s="15"/>
    </row>
    <row r="38" spans="1:7">
      <c r="A38" s="173" t="s">
        <v>77</v>
      </c>
      <c r="B38" s="33">
        <f>IF((B24-(B29-B18)*0.1)&lt;0,0,B24-(B29-B18)*0.1)</f>
        <v>37.599999999999994</v>
      </c>
      <c r="C38" s="169">
        <f>IF(ISERROR(B38/SUM($B$32,$B$34,$B$35,$B$36,$B$38,$B$39)*100),0,B38/SUM($B$32,$B$34,$B$35,$B$36,$B$38,$B$39)*100)</f>
        <v>0.5045625335480407</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5312</v>
      </c>
      <c r="C44" s="34" t="s">
        <v>111</v>
      </c>
      <c r="D44" s="176"/>
    </row>
    <row r="45" spans="1:7">
      <c r="A45" s="173" t="s">
        <v>72</v>
      </c>
      <c r="B45" s="33" t="str">
        <f t="shared" si="0"/>
        <v>-</v>
      </c>
      <c r="C45" s="34" t="s">
        <v>111</v>
      </c>
      <c r="D45" s="176"/>
    </row>
    <row r="46" spans="1:7">
      <c r="A46" s="173" t="s">
        <v>73</v>
      </c>
      <c r="B46" s="33">
        <f t="shared" si="0"/>
        <v>317.86949602122013</v>
      </c>
      <c r="C46" s="34" t="s">
        <v>111</v>
      </c>
      <c r="D46" s="176"/>
    </row>
    <row r="47" spans="1:7">
      <c r="A47" s="173" t="s">
        <v>74</v>
      </c>
      <c r="B47" s="33">
        <f t="shared" si="0"/>
        <v>1391.376127320955</v>
      </c>
      <c r="C47" s="34" t="s">
        <v>111</v>
      </c>
      <c r="D47" s="176"/>
    </row>
    <row r="48" spans="1:7">
      <c r="A48" s="173" t="s">
        <v>75</v>
      </c>
      <c r="B48" s="33">
        <f t="shared" si="0"/>
        <v>393.15437665782491</v>
      </c>
      <c r="C48" s="33">
        <f>B48*10</f>
        <v>3931.5437665782492</v>
      </c>
      <c r="D48" s="236"/>
    </row>
    <row r="49" spans="1:6">
      <c r="A49" s="173" t="s">
        <v>76</v>
      </c>
      <c r="B49" s="33" t="str">
        <f t="shared" si="0"/>
        <v>-</v>
      </c>
      <c r="C49" s="34" t="s">
        <v>111</v>
      </c>
      <c r="D49" s="236"/>
    </row>
    <row r="50" spans="1:6">
      <c r="A50" s="173" t="s">
        <v>77</v>
      </c>
      <c r="B50" s="33">
        <f t="shared" si="0"/>
        <v>37.599999999999994</v>
      </c>
      <c r="C50" s="33">
        <f>B50*2</f>
        <v>75.199999999999989</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13385.70867292131</v>
      </c>
      <c r="C5" s="17">
        <f>IF(ISERROR('Eigen informatie GS &amp; warmtenet'!B58),0,'Eigen informatie GS &amp; warmtenet'!B58)</f>
        <v>0</v>
      </c>
      <c r="D5" s="30">
        <f>SUM(D6:D12)</f>
        <v>19994.553965063969</v>
      </c>
      <c r="E5" s="17">
        <f>SUM(E6:E12)</f>
        <v>179.69960714051584</v>
      </c>
      <c r="F5" s="17">
        <f>SUM(F6:F12)</f>
        <v>2677.6532689537548</v>
      </c>
      <c r="G5" s="18"/>
      <c r="H5" s="17"/>
      <c r="I5" s="17"/>
      <c r="J5" s="17">
        <f>SUM(J6:J12)</f>
        <v>0</v>
      </c>
      <c r="K5" s="17"/>
      <c r="L5" s="17"/>
      <c r="M5" s="17"/>
      <c r="N5" s="17">
        <f>SUM(N6:N12)</f>
        <v>1382.615659047299</v>
      </c>
      <c r="O5" s="17">
        <f>B38*B39*B40</f>
        <v>0</v>
      </c>
      <c r="P5" s="17">
        <f>B46*B47*B48/1000-B46*B47*B48/1000/B49</f>
        <v>0</v>
      </c>
      <c r="R5" s="32"/>
    </row>
    <row r="6" spans="1:18">
      <c r="A6" s="32" t="s">
        <v>54</v>
      </c>
      <c r="B6" s="37">
        <f>B26</f>
        <v>3852.3677862714399</v>
      </c>
      <c r="C6" s="33"/>
      <c r="D6" s="37">
        <f>IF(ISERROR(TER_kantoor_gas_kWh/1000),0,TER_kantoor_gas_kWh/1000)*0.902</f>
        <v>3951.5115521490961</v>
      </c>
      <c r="E6" s="33">
        <f>$C$26*'E Balans VL '!I12/100/3.6*1000000</f>
        <v>14.967264443445341</v>
      </c>
      <c r="F6" s="33">
        <f>$C$26*('E Balans VL '!L12+'E Balans VL '!N12)/100/3.6*1000000</f>
        <v>585.91008653975848</v>
      </c>
      <c r="G6" s="34"/>
      <c r="H6" s="33"/>
      <c r="I6" s="33"/>
      <c r="J6" s="33">
        <f>$C$26*('E Balans VL '!D12+'E Balans VL '!E12)/100/3.6*1000000</f>
        <v>0</v>
      </c>
      <c r="K6" s="33"/>
      <c r="L6" s="33"/>
      <c r="M6" s="33"/>
      <c r="N6" s="33">
        <f>$C$26*'E Balans VL '!Y12/100/3.6*1000000</f>
        <v>2.1231161525309679</v>
      </c>
      <c r="O6" s="33"/>
      <c r="P6" s="33"/>
      <c r="R6" s="32"/>
    </row>
    <row r="7" spans="1:18">
      <c r="A7" s="32" t="s">
        <v>53</v>
      </c>
      <c r="B7" s="37">
        <f t="shared" ref="B7:B12" si="0">B27</f>
        <v>1275.4807200226701</v>
      </c>
      <c r="C7" s="33"/>
      <c r="D7" s="37">
        <f>IF(ISERROR(TER_horeca_gas_kWh/1000),0,TER_horeca_gas_kWh/1000)*0.902</f>
        <v>1840.2846480351236</v>
      </c>
      <c r="E7" s="33">
        <f>$C$27*'E Balans VL '!I9/100/3.6*1000000</f>
        <v>71.848169965922636</v>
      </c>
      <c r="F7" s="33">
        <f>$C$27*('E Balans VL '!L9+'E Balans VL '!N9)/100/3.6*1000000</f>
        <v>367.77227818267306</v>
      </c>
      <c r="G7" s="34"/>
      <c r="H7" s="33"/>
      <c r="I7" s="33"/>
      <c r="J7" s="33">
        <f>$C$27*('E Balans VL '!D9+'E Balans VL '!E9)/100/3.6*1000000</f>
        <v>0</v>
      </c>
      <c r="K7" s="33"/>
      <c r="L7" s="33"/>
      <c r="M7" s="33"/>
      <c r="N7" s="33">
        <f>$C$27*'E Balans VL '!Y9/100/3.6*1000000</f>
        <v>0.35215359877682773</v>
      </c>
      <c r="O7" s="33"/>
      <c r="P7" s="33"/>
      <c r="R7" s="32"/>
    </row>
    <row r="8" spans="1:18">
      <c r="A8" s="6" t="s">
        <v>52</v>
      </c>
      <c r="B8" s="37">
        <f t="shared" si="0"/>
        <v>4403.1057670226901</v>
      </c>
      <c r="C8" s="33"/>
      <c r="D8" s="37">
        <f>IF(ISERROR(TER_handel_gas_kWh/1000),0,TER_handel_gas_kWh/1000)*0.902</f>
        <v>3835.2468486457592</v>
      </c>
      <c r="E8" s="33">
        <f>$C$28*'E Balans VL '!I13/100/3.6*1000000</f>
        <v>63.463692354671764</v>
      </c>
      <c r="F8" s="33">
        <f>$C$28*('E Balans VL '!L13+'E Balans VL '!N13)/100/3.6*1000000</f>
        <v>764.92201314577824</v>
      </c>
      <c r="G8" s="34"/>
      <c r="H8" s="33"/>
      <c r="I8" s="33"/>
      <c r="J8" s="33">
        <f>$C$28*('E Balans VL '!D13+'E Balans VL '!E13)/100/3.6*1000000</f>
        <v>0</v>
      </c>
      <c r="K8" s="33"/>
      <c r="L8" s="33"/>
      <c r="M8" s="33"/>
      <c r="N8" s="33">
        <f>$C$28*'E Balans VL '!Y13/100/3.6*1000000</f>
        <v>13.192195041831413</v>
      </c>
      <c r="O8" s="33"/>
      <c r="P8" s="33"/>
      <c r="R8" s="32"/>
    </row>
    <row r="9" spans="1:18">
      <c r="A9" s="32" t="s">
        <v>51</v>
      </c>
      <c r="B9" s="37">
        <f t="shared" si="0"/>
        <v>208.79517427820599</v>
      </c>
      <c r="C9" s="33"/>
      <c r="D9" s="37">
        <f>IF(ISERROR(TER_gezond_gas_kWh/1000),0,TER_gezond_gas_kWh/1000)*0.902</f>
        <v>475.73395720755678</v>
      </c>
      <c r="E9" s="33">
        <f>$C$29*'E Balans VL '!I10/100/3.6*1000000</f>
        <v>0.22304736385088658</v>
      </c>
      <c r="F9" s="33">
        <f>$C$29*('E Balans VL '!L10+'E Balans VL '!N10)/100/3.6*1000000</f>
        <v>34.060838448239004</v>
      </c>
      <c r="G9" s="34"/>
      <c r="H9" s="33"/>
      <c r="I9" s="33"/>
      <c r="J9" s="33">
        <f>$C$29*('E Balans VL '!D10+'E Balans VL '!E10)/100/3.6*1000000</f>
        <v>0</v>
      </c>
      <c r="K9" s="33"/>
      <c r="L9" s="33"/>
      <c r="M9" s="33"/>
      <c r="N9" s="33">
        <f>$C$29*'E Balans VL '!Y10/100/3.6*1000000</f>
        <v>2.1494271830444904</v>
      </c>
      <c r="O9" s="33"/>
      <c r="P9" s="33"/>
      <c r="R9" s="32"/>
    </row>
    <row r="10" spans="1:18">
      <c r="A10" s="32" t="s">
        <v>50</v>
      </c>
      <c r="B10" s="37">
        <f t="shared" si="0"/>
        <v>1763.8410790991002</v>
      </c>
      <c r="C10" s="33"/>
      <c r="D10" s="37">
        <f>IF(ISERROR(TER_ander_gas_kWh/1000),0,TER_ander_gas_kWh/1000)*0.902</f>
        <v>5269.8097947119204</v>
      </c>
      <c r="E10" s="33">
        <f>$C$30*'E Balans VL '!I14/100/3.6*1000000</f>
        <v>8.1116368226317341</v>
      </c>
      <c r="F10" s="33">
        <f>$C$30*('E Balans VL '!L14+'E Balans VL '!N14)/100/3.6*1000000</f>
        <v>528.67880795415329</v>
      </c>
      <c r="G10" s="34"/>
      <c r="H10" s="33"/>
      <c r="I10" s="33"/>
      <c r="J10" s="33">
        <f>$C$30*('E Balans VL '!D14+'E Balans VL '!E14)/100/3.6*1000000</f>
        <v>0</v>
      </c>
      <c r="K10" s="33"/>
      <c r="L10" s="33"/>
      <c r="M10" s="33"/>
      <c r="N10" s="33">
        <f>$C$30*'E Balans VL '!Y14/100/3.6*1000000</f>
        <v>1227.7498235584442</v>
      </c>
      <c r="O10" s="33"/>
      <c r="P10" s="33"/>
      <c r="R10" s="32"/>
    </row>
    <row r="11" spans="1:18">
      <c r="A11" s="32" t="s">
        <v>55</v>
      </c>
      <c r="B11" s="37">
        <f t="shared" si="0"/>
        <v>155.63124980692299</v>
      </c>
      <c r="C11" s="33"/>
      <c r="D11" s="37">
        <f>IF(ISERROR(TER_onderwijs_gas_kWh/1000),0,TER_onderwijs_gas_kWh/1000)*0.902</f>
        <v>379.66641411869068</v>
      </c>
      <c r="E11" s="33">
        <f>$C$31*'E Balans VL '!I11/100/3.6*1000000</f>
        <v>0.14436845107143659</v>
      </c>
      <c r="F11" s="33">
        <f>$C$31*('E Balans VL '!L11+'E Balans VL '!N11)/100/3.6*1000000</f>
        <v>54.669681130062742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1726.4868964202799</v>
      </c>
      <c r="C12" s="33"/>
      <c r="D12" s="37">
        <f>IF(ISERROR(TER_rest_gas_kWh/1000),0,TER_rest_gas_kWh/1000)*0.902</f>
        <v>4242.3007501958255</v>
      </c>
      <c r="E12" s="33">
        <f>$C$32*'E Balans VL '!I8/100/3.6*1000000</f>
        <v>20.941427738922012</v>
      </c>
      <c r="F12" s="33">
        <f>$C$32*('E Balans VL '!L8+'E Balans VL '!N8)/100/3.6*1000000</f>
        <v>341.63956355309023</v>
      </c>
      <c r="G12" s="34"/>
      <c r="H12" s="33"/>
      <c r="I12" s="33"/>
      <c r="J12" s="33">
        <f>$C$32*('E Balans VL '!D8+'E Balans VL '!E8)/100/3.6*1000000</f>
        <v>0</v>
      </c>
      <c r="K12" s="33"/>
      <c r="L12" s="33"/>
      <c r="M12" s="33"/>
      <c r="N12" s="33">
        <f>$C$32*'E Balans VL '!Y8/100/3.6*1000000</f>
        <v>137.04894351267106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13385.70867292131</v>
      </c>
      <c r="C16" s="21">
        <f t="shared" ca="1" si="1"/>
        <v>0</v>
      </c>
      <c r="D16" s="21">
        <f t="shared" ca="1" si="1"/>
        <v>19994.553965063969</v>
      </c>
      <c r="E16" s="21">
        <f t="shared" si="1"/>
        <v>179.69960714051584</v>
      </c>
      <c r="F16" s="21">
        <f t="shared" ca="1" si="1"/>
        <v>2677.6532689537548</v>
      </c>
      <c r="G16" s="21">
        <f t="shared" si="1"/>
        <v>0</v>
      </c>
      <c r="H16" s="21">
        <f t="shared" si="1"/>
        <v>0</v>
      </c>
      <c r="I16" s="21">
        <f t="shared" si="1"/>
        <v>0</v>
      </c>
      <c r="J16" s="21">
        <f t="shared" si="1"/>
        <v>0</v>
      </c>
      <c r="K16" s="21">
        <f t="shared" si="1"/>
        <v>0</v>
      </c>
      <c r="L16" s="21">
        <f t="shared" ca="1" si="1"/>
        <v>0</v>
      </c>
      <c r="M16" s="21">
        <f t="shared" si="1"/>
        <v>0</v>
      </c>
      <c r="N16" s="21">
        <f t="shared" ca="1" si="1"/>
        <v>1382.615659047299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0.1637438394426417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2191.8273317648036</v>
      </c>
      <c r="C20" s="23">
        <f t="shared" ref="C20:P20" ca="1" si="2">C16*C18</f>
        <v>0</v>
      </c>
      <c r="D20" s="23">
        <f t="shared" ca="1" si="2"/>
        <v>4038.8999009429222</v>
      </c>
      <c r="E20" s="23">
        <f t="shared" si="2"/>
        <v>40.791810820897098</v>
      </c>
      <c r="F20" s="23">
        <f t="shared" ca="1" si="2"/>
        <v>714.93342281065259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3852.3677862714399</v>
      </c>
      <c r="C26" s="39">
        <f>IF(ISERROR(B26*3.6/1000000/'E Balans VL '!Z12*100),0,B26*3.6/1000000/'E Balans VL '!Z12*100)</f>
        <v>8.1826199995342144E-2</v>
      </c>
      <c r="D26" s="239" t="s">
        <v>692</v>
      </c>
      <c r="F26" s="6"/>
    </row>
    <row r="27" spans="1:18">
      <c r="A27" s="233" t="s">
        <v>53</v>
      </c>
      <c r="B27" s="33">
        <f>IF(ISERROR(TER_horeca_ele_kWh/1000),0,TER_horeca_ele_kWh/1000)</f>
        <v>1275.4807200226701</v>
      </c>
      <c r="C27" s="39">
        <f>IF(ISERROR(B27*3.6/1000000/'E Balans VL '!Z9*100),0,B27*3.6/1000000/'E Balans VL '!Z9*100)</f>
        <v>9.9176393759212292E-2</v>
      </c>
      <c r="D27" s="239" t="s">
        <v>692</v>
      </c>
      <c r="F27" s="6"/>
    </row>
    <row r="28" spans="1:18">
      <c r="A28" s="173" t="s">
        <v>52</v>
      </c>
      <c r="B28" s="33">
        <f>IF(ISERROR(TER_handel_ele_kWh/1000),0,TER_handel_ele_kWh/1000)</f>
        <v>4403.1057670226901</v>
      </c>
      <c r="C28" s="39">
        <f>IF(ISERROR(B28*3.6/1000000/'E Balans VL '!Z13*100),0,B28*3.6/1000000/'E Balans VL '!Z13*100)</f>
        <v>0.12597803793163145</v>
      </c>
      <c r="D28" s="239" t="s">
        <v>692</v>
      </c>
      <c r="F28" s="6"/>
    </row>
    <row r="29" spans="1:18">
      <c r="A29" s="233" t="s">
        <v>51</v>
      </c>
      <c r="B29" s="33">
        <f>IF(ISERROR(TER_gezond_ele_kWh/1000),0,TER_gezond_ele_kWh/1000)</f>
        <v>208.79517427820599</v>
      </c>
      <c r="C29" s="39">
        <f>IF(ISERROR(B29*3.6/1000000/'E Balans VL '!Z10*100),0,B29*3.6/1000000/'E Balans VL '!Z10*100)</f>
        <v>2.2763525814287294E-2</v>
      </c>
      <c r="D29" s="239" t="s">
        <v>692</v>
      </c>
      <c r="F29" s="6"/>
    </row>
    <row r="30" spans="1:18">
      <c r="A30" s="233" t="s">
        <v>50</v>
      </c>
      <c r="B30" s="33">
        <f>IF(ISERROR(TER_ander_ele_kWh/1000),0,TER_ander_ele_kWh/1000)</f>
        <v>1763.8410790991002</v>
      </c>
      <c r="C30" s="39">
        <f>IF(ISERROR(B30*3.6/1000000/'E Balans VL '!Z14*100),0,B30*3.6/1000000/'E Balans VL '!Z14*100)</f>
        <v>0.12907388898983393</v>
      </c>
      <c r="D30" s="239" t="s">
        <v>692</v>
      </c>
      <c r="F30" s="6"/>
    </row>
    <row r="31" spans="1:18">
      <c r="A31" s="233" t="s">
        <v>55</v>
      </c>
      <c r="B31" s="33">
        <f>IF(ISERROR(TER_onderwijs_ele_kWh/1000),0,TER_onderwijs_ele_kWh/1000)</f>
        <v>155.63124980692299</v>
      </c>
      <c r="C31" s="39">
        <f>IF(ISERROR(B31*3.6/1000000/'E Balans VL '!Z11*100),0,B31*3.6/1000000/'E Balans VL '!Z11*100)</f>
        <v>3.1258652092299798E-2</v>
      </c>
      <c r="D31" s="239" t="s">
        <v>692</v>
      </c>
    </row>
    <row r="32" spans="1:18">
      <c r="A32" s="233" t="s">
        <v>260</v>
      </c>
      <c r="B32" s="33">
        <f>IF(ISERROR(TER_rest_ele_kWh/1000),0,TER_rest_ele_kWh/1000)</f>
        <v>1726.4868964202799</v>
      </c>
      <c r="C32" s="39">
        <f>IF(ISERROR(B32*3.6/1000000/'E Balans VL '!Z8*100),0,B32*3.6/1000000/'E Balans VL '!Z8*100)</f>
        <v>1.4069820454163259E-2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7359.140991817294</v>
      </c>
      <c r="C5" s="17">
        <f>IF(ISERROR('Eigen informatie GS &amp; warmtenet'!B59),0,'Eigen informatie GS &amp; warmtenet'!B59)</f>
        <v>0</v>
      </c>
      <c r="D5" s="30">
        <f>SUM(D6:D15)</f>
        <v>9946.5699151161898</v>
      </c>
      <c r="E5" s="17">
        <f>SUM(E6:E15)</f>
        <v>1084.4745541947257</v>
      </c>
      <c r="F5" s="17">
        <f>SUM(F6:F15)</f>
        <v>4489.8267195209519</v>
      </c>
      <c r="G5" s="18"/>
      <c r="H5" s="17"/>
      <c r="I5" s="17"/>
      <c r="J5" s="17">
        <f>SUM(J6:J15)</f>
        <v>6.0167284569226966</v>
      </c>
      <c r="K5" s="17"/>
      <c r="L5" s="17"/>
      <c r="M5" s="17"/>
      <c r="N5" s="17">
        <f>SUM(N6:N15)</f>
        <v>1822.765912855129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796.08686992094397</v>
      </c>
      <c r="C8" s="33"/>
      <c r="D8" s="37">
        <f>IF( ISERROR(IND_metaal_Gas_kWH/1000),0,IND_metaal_Gas_kWH/1000)*0.902</f>
        <v>283.84598305137985</v>
      </c>
      <c r="E8" s="33">
        <f>C30*'E Balans VL '!I18/100/3.6*1000000</f>
        <v>22.866603047658057</v>
      </c>
      <c r="F8" s="33">
        <f>C30*'E Balans VL '!L18/100/3.6*1000000+C30*'E Balans VL '!N18/100/3.6*1000000</f>
        <v>204.18097118385717</v>
      </c>
      <c r="G8" s="34"/>
      <c r="H8" s="33"/>
      <c r="I8" s="33"/>
      <c r="J8" s="40">
        <f>C30*'E Balans VL '!D18/100/3.6*1000000+C30*'E Balans VL '!E18/100/3.6*1000000</f>
        <v>0</v>
      </c>
      <c r="K8" s="33"/>
      <c r="L8" s="33"/>
      <c r="M8" s="33"/>
      <c r="N8" s="33">
        <f>C30*'E Balans VL '!Y18/100/3.6*1000000</f>
        <v>21.615383561887604</v>
      </c>
      <c r="O8" s="33"/>
      <c r="P8" s="33"/>
      <c r="R8" s="32"/>
    </row>
    <row r="9" spans="1:18">
      <c r="A9" s="6" t="s">
        <v>33</v>
      </c>
      <c r="B9" s="37">
        <f t="shared" si="0"/>
        <v>3102.1933741172797</v>
      </c>
      <c r="C9" s="33"/>
      <c r="D9" s="37">
        <f>IF( ISERROR(IND_andere_gas_kWh/1000),0,IND_andere_gas_kWh/1000)*0.902</f>
        <v>2361.9636591408494</v>
      </c>
      <c r="E9" s="33">
        <f>C31*'E Balans VL '!I19/100/3.6*1000000</f>
        <v>839.68747261958765</v>
      </c>
      <c r="F9" s="33">
        <f>C31*'E Balans VL '!L19/100/3.6*1000000+C31*'E Balans VL '!N19/100/3.6*1000000</f>
        <v>2066.3890677957133</v>
      </c>
      <c r="G9" s="34"/>
      <c r="H9" s="33"/>
      <c r="I9" s="33"/>
      <c r="J9" s="40">
        <f>C31*'E Balans VL '!D19/100/3.6*1000000+C31*'E Balans VL '!E19/100/3.6*1000000</f>
        <v>0</v>
      </c>
      <c r="K9" s="33"/>
      <c r="L9" s="33"/>
      <c r="M9" s="33"/>
      <c r="N9" s="33">
        <f>C31*'E Balans VL '!Y19/100/3.6*1000000</f>
        <v>1012.8146048056549</v>
      </c>
      <c r="O9" s="33"/>
      <c r="P9" s="33"/>
      <c r="R9" s="32"/>
    </row>
    <row r="10" spans="1:18">
      <c r="A10" s="6" t="s">
        <v>41</v>
      </c>
      <c r="B10" s="37">
        <f t="shared" si="0"/>
        <v>1119.1611564223799</v>
      </c>
      <c r="C10" s="33"/>
      <c r="D10" s="37">
        <f>IF( ISERROR(IND_voed_gas_kWh/1000),0,IND_voed_gas_kWh/1000)*0.902</f>
        <v>1482.4281409115415</v>
      </c>
      <c r="E10" s="33">
        <f>C32*'E Balans VL '!I20/100/3.6*1000000</f>
        <v>91.281355123659921</v>
      </c>
      <c r="F10" s="33">
        <f>C32*'E Balans VL '!L20/100/3.6*1000000+C32*'E Balans VL '!N20/100/3.6*1000000</f>
        <v>1668.7708234228746</v>
      </c>
      <c r="G10" s="34"/>
      <c r="H10" s="33"/>
      <c r="I10" s="33"/>
      <c r="J10" s="40">
        <f>C32*'E Balans VL '!D20/100/3.6*1000000+C32*'E Balans VL '!E20/100/3.6*1000000</f>
        <v>1.4805143620065034E-2</v>
      </c>
      <c r="K10" s="33"/>
      <c r="L10" s="33"/>
      <c r="M10" s="33"/>
      <c r="N10" s="33">
        <f>C32*'E Balans VL '!Y20/100/3.6*1000000</f>
        <v>328.77005681790854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2341.6995913566902</v>
      </c>
      <c r="C15" s="33"/>
      <c r="D15" s="37">
        <f>IF( ISERROR(IND_rest_gas_kWh/1000),0,IND_rest_gas_kWh/1000)*0.902</f>
        <v>5818.3321320124196</v>
      </c>
      <c r="E15" s="33">
        <f>C37*'E Balans VL '!I15/100/3.6*1000000</f>
        <v>130.63912340382018</v>
      </c>
      <c r="F15" s="33">
        <f>C37*'E Balans VL '!L15/100/3.6*1000000+C37*'E Balans VL '!N15/100/3.6*1000000</f>
        <v>550.48585711850728</v>
      </c>
      <c r="G15" s="34"/>
      <c r="H15" s="33"/>
      <c r="I15" s="33"/>
      <c r="J15" s="40">
        <f>C37*'E Balans VL '!D15/100/3.6*1000000+C37*'E Balans VL '!E15/100/3.6*1000000</f>
        <v>6.0019233133026315</v>
      </c>
      <c r="K15" s="33"/>
      <c r="L15" s="33"/>
      <c r="M15" s="33"/>
      <c r="N15" s="33">
        <f>C37*'E Balans VL '!Y15/100/3.6*1000000</f>
        <v>459.56586766967808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7359.140991817294</v>
      </c>
      <c r="C18" s="21">
        <f>C5+C16</f>
        <v>0</v>
      </c>
      <c r="D18" s="21">
        <f>MAX((D5+D16),0)</f>
        <v>9946.5699151161898</v>
      </c>
      <c r="E18" s="21">
        <f>MAX((E5+E16),0)</f>
        <v>1084.4745541947257</v>
      </c>
      <c r="F18" s="21">
        <f>MAX((F5+F16),0)</f>
        <v>4489.8267195209519</v>
      </c>
      <c r="G18" s="21"/>
      <c r="H18" s="21"/>
      <c r="I18" s="21"/>
      <c r="J18" s="21">
        <f>MAX((J5+J16),0)</f>
        <v>6.0167284569226966</v>
      </c>
      <c r="K18" s="21"/>
      <c r="L18" s="21">
        <f>MAX((L5+L16),0)</f>
        <v>0</v>
      </c>
      <c r="M18" s="21"/>
      <c r="N18" s="21">
        <f>MAX((N5+N16),0)</f>
        <v>1822.765912855129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0.1637438394426417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1205.0140009998941</v>
      </c>
      <c r="C22" s="23">
        <f ca="1">C18*C20</f>
        <v>0</v>
      </c>
      <c r="D22" s="23">
        <f>D18*D20</f>
        <v>2009.2071228534705</v>
      </c>
      <c r="E22" s="23">
        <f>E18*E20</f>
        <v>246.17572380220273</v>
      </c>
      <c r="F22" s="23">
        <f>F18*F20</f>
        <v>1198.7837341120942</v>
      </c>
      <c r="G22" s="23"/>
      <c r="H22" s="23"/>
      <c r="I22" s="23"/>
      <c r="J22" s="23">
        <f>J18*J20</f>
        <v>2.1299218737506345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796.08686992094397</v>
      </c>
      <c r="C30" s="39">
        <f>IF(ISERROR(B30*3.6/1000000/'E Balans VL '!Z18*100),0,B30*3.6/1000000/'E Balans VL '!Z18*100)</f>
        <v>7.8332915806921491E-2</v>
      </c>
      <c r="D30" s="239" t="s">
        <v>692</v>
      </c>
    </row>
    <row r="31" spans="1:18">
      <c r="A31" s="6" t="s">
        <v>33</v>
      </c>
      <c r="B31" s="37">
        <f>IF( ISERROR(IND_ander_ele_kWh/1000),0,IND_ander_ele_kWh/1000)</f>
        <v>3102.1933741172797</v>
      </c>
      <c r="C31" s="39">
        <f>IF(ISERROR(B31*3.6/1000000/'E Balans VL '!Z19*100),0,B31*3.6/1000000/'E Balans VL '!Z19*100)</f>
        <v>0.13509804684752938</v>
      </c>
      <c r="D31" s="239" t="s">
        <v>692</v>
      </c>
    </row>
    <row r="32" spans="1:18">
      <c r="A32" s="173" t="s">
        <v>41</v>
      </c>
      <c r="B32" s="37">
        <f>IF( ISERROR(IND_voed_ele_kWh/1000),0,IND_voed_ele_kWh/1000)</f>
        <v>1119.1611564223799</v>
      </c>
      <c r="C32" s="39">
        <f>IF(ISERROR(B32*3.6/1000000/'E Balans VL '!Z20*100),0,B32*3.6/1000000/'E Balans VL '!Z20*100)</f>
        <v>0.2123446893714423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2341.6995913566902</v>
      </c>
      <c r="C37" s="39">
        <f>IF(ISERROR(B37*3.6/1000000/'E Balans VL '!Z15*100),0,B37*3.6/1000000/'E Balans VL '!Z15*100)</f>
        <v>1.8045671551368402E-2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5125.825381874316</v>
      </c>
      <c r="C5" s="17">
        <f>'Eigen informatie GS &amp; warmtenet'!B60</f>
        <v>0</v>
      </c>
      <c r="D5" s="30">
        <f>IF(ISERROR(SUM(LB_lb_gas_kWh,LB_rest_gas_kWh,onbekend_gas_kWh)/1000),0,SUM(LB_lb_gas_kWh,LB_rest_gas_kWh,onbekend_gas_kWh)/1000)*0.902</f>
        <v>23460.959668889827</v>
      </c>
      <c r="E5" s="17">
        <f>B17*'E Balans VL '!I25/3.6*1000000/100</f>
        <v>64.592003217316488</v>
      </c>
      <c r="F5" s="17">
        <f>B17*('E Balans VL '!L25/3.6*1000000+'E Balans VL '!N25/3.6*1000000)/100</f>
        <v>17685.381663452434</v>
      </c>
      <c r="G5" s="18"/>
      <c r="H5" s="17"/>
      <c r="I5" s="17"/>
      <c r="J5" s="17">
        <f>('E Balans VL '!D25+'E Balans VL '!E25)/3.6*1000000*landbouw!B17/100</f>
        <v>770.86586910743677</v>
      </c>
      <c r="K5" s="17"/>
      <c r="L5" s="17">
        <f>L6*(-1)</f>
        <v>0</v>
      </c>
      <c r="M5" s="17"/>
      <c r="N5" s="17">
        <f>N6*(-1)</f>
        <v>0</v>
      </c>
      <c r="O5" s="17"/>
      <c r="P5" s="17"/>
      <c r="R5" s="32"/>
    </row>
    <row r="6" spans="1:18">
      <c r="A6" s="16" t="s">
        <v>497</v>
      </c>
      <c r="B6" s="17" t="s">
        <v>211</v>
      </c>
      <c r="C6" s="17">
        <f>'lokale energieproductie'!O91+'lokale energieproductie'!O60</f>
        <v>43200</v>
      </c>
      <c r="D6" s="312">
        <f>('lokale energieproductie'!P60+'lokale energieproductie'!P91)*(-1)</f>
        <v>-86400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5125.825381874316</v>
      </c>
      <c r="C8" s="21">
        <f>C5+C6</f>
        <v>43200</v>
      </c>
      <c r="D8" s="21">
        <f>MAX((D5+D6),0)</f>
        <v>0</v>
      </c>
      <c r="E8" s="21">
        <f>MAX((E5+E6),0)</f>
        <v>64.592003217316488</v>
      </c>
      <c r="F8" s="21">
        <f>MAX((F5+F6),0)</f>
        <v>17685.381663452434</v>
      </c>
      <c r="G8" s="21"/>
      <c r="H8" s="21"/>
      <c r="I8" s="21"/>
      <c r="J8" s="21">
        <f>MAX((J5+J6),0)</f>
        <v>770.86586910743677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0.1637438394426417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839.32232834064564</v>
      </c>
      <c r="C12" s="23">
        <f ca="1">C8*C10</f>
        <v>10266.352941176472</v>
      </c>
      <c r="D12" s="23">
        <f>D8*D10</f>
        <v>0</v>
      </c>
      <c r="E12" s="23">
        <f>E8*E10</f>
        <v>14.662384730330844</v>
      </c>
      <c r="F12" s="23">
        <f>F8*F10</f>
        <v>4721.9969041417999</v>
      </c>
      <c r="G12" s="23"/>
      <c r="H12" s="23"/>
      <c r="I12" s="23"/>
      <c r="J12" s="23">
        <f>J8*J10</f>
        <v>272.88651766403262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0.71489108413319558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390.19851948798191</v>
      </c>
      <c r="C26" s="249">
        <f>B26*'GWP N2O_CH4'!B5</f>
        <v>8194.1689092476208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230.73194474422576</v>
      </c>
      <c r="C27" s="249">
        <f>B27*'GWP N2O_CH4'!B5</f>
        <v>4845.3708396287411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6.3501268106932995</v>
      </c>
      <c r="C28" s="249">
        <f>B28*'GWP N2O_CH4'!B4</f>
        <v>1968.5393113149228</v>
      </c>
      <c r="D28" s="50"/>
    </row>
    <row r="29" spans="1:4">
      <c r="A29" s="41" t="s">
        <v>277</v>
      </c>
      <c r="B29" s="249">
        <f>B34*'ha_N2O bodem landbouw'!B4</f>
        <v>21.562979443556127</v>
      </c>
      <c r="C29" s="249">
        <f>B29*'GWP N2O_CH4'!B4</f>
        <v>6684.5236275023999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5.3840605037517386E-3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3.0773881773738531E-5</v>
      </c>
      <c r="C5" s="448" t="s">
        <v>211</v>
      </c>
      <c r="D5" s="433">
        <f>SUM(D6:D11)</f>
        <v>5.5716139460834306E-5</v>
      </c>
      <c r="E5" s="433">
        <f>SUM(E6:E11)</f>
        <v>1.8646747031916375E-3</v>
      </c>
      <c r="F5" s="446" t="s">
        <v>211</v>
      </c>
      <c r="G5" s="433">
        <f>SUM(G6:G11)</f>
        <v>0.54877448716883759</v>
      </c>
      <c r="H5" s="433">
        <f>SUM(H6:H11)</f>
        <v>8.470219758040505E-2</v>
      </c>
      <c r="I5" s="448" t="s">
        <v>211</v>
      </c>
      <c r="J5" s="448" t="s">
        <v>211</v>
      </c>
      <c r="K5" s="448" t="s">
        <v>211</v>
      </c>
      <c r="L5" s="448" t="s">
        <v>211</v>
      </c>
      <c r="M5" s="433">
        <f>SUM(M6:M11)</f>
        <v>2.8382080890084097E-2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5.2887977457464756E-6</v>
      </c>
      <c r="C6" s="949"/>
      <c r="D6" s="949">
        <f>vkm_2011_GW_PW*SUMIFS(TableVerdeelsleutelVkm[CNG],TableVerdeelsleutelVkm[Voertuigtype],"Lichte voertuigen")*SUMIFS(TableECFTransport[EnergieConsumptieFactor (PJ per km)],TableECFTransport[Index],CONCATENATE($A6,"_CNG_CNG"))</f>
        <v>7.4899719942898031E-6</v>
      </c>
      <c r="E6" s="949">
        <f>vkm_2011_GW_PW*SUMIFS(TableVerdeelsleutelVkm[LPG],TableVerdeelsleutelVkm[Voertuigtype],"Lichte voertuigen")*SUMIFS(TableECFTransport[EnergieConsumptieFactor (PJ per km)],TableECFTransport[Index],CONCATENATE($A6,"_LPG_LPG"))</f>
        <v>2.3523536270187077E-4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4.2278235901457434E-2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1.1360546611958129E-2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2.3936001935700234E-3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3.3291902830125168E-2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1.1861421012923223E-5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1.5023250600516918E-3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1.0094327439218336E-5</v>
      </c>
      <c r="C8" s="949"/>
      <c r="D8" s="436">
        <f>vkm_2011_NGW_PW*SUMIFS(TableVerdeelsleutelVkm[CNG],TableVerdeelsleutelVkm[Voertuigtype],"Lichte voertuigen")*SUMIFS(TableECFTransport[EnergieConsumptieFactor (PJ per km)],TableECFTransport[Index],CONCATENATE($A8,"_CNG_CNG"))</f>
        <v>2.5467751665325969E-5</v>
      </c>
      <c r="E8" s="436">
        <f>vkm_2011_NGW_PW*SUMIFS(TableVerdeelsleutelVkm[LPG],TableVerdeelsleutelVkm[Voertuigtype],"Lichte voertuigen")*SUMIFS(TableECFTransport[EnergieConsumptieFactor (PJ per km)],TableECFTransport[Index],CONCATENATE($A8,"_LPG_LPG"))</f>
        <v>7.3672479170629201E-4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0.1248819962120145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3.727285693664429E-2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7.2293452681225015E-3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3.6759579176568469E-2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1.2393481859948652E-5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1.6587767487563649E-3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1.5390756588773718E-5</v>
      </c>
      <c r="C10" s="949"/>
      <c r="D10" s="436">
        <f>vkm_2011_SW_PW*SUMIFS(TableVerdeelsleutelVkm[CNG],TableVerdeelsleutelVkm[Voertuigtype],"Lichte voertuigen")*SUMIFS(TableECFTransport[EnergieConsumptieFactor (PJ per km)],TableECFTransport[Index],CONCATENATE($A10,"_CNG_CNG"))</f>
        <v>2.2758415801218538E-5</v>
      </c>
      <c r="E10" s="436">
        <f>vkm_2011_SW_PW*SUMIFS(TableVerdeelsleutelVkm[LPG],TableVerdeelsleutelVkm[Voertuigtype],"Lichte voertuigen")*SUMIFS(TableECFTransport[EnergieConsumptieFactor (PJ per km)],TableECFTransport[Index],CONCATENATE($A10,"_LPG_LPG"))</f>
        <v>8.9271454878347457E-4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0.1453076843426287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3.5980660957424339E-2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8.0954343595181274E-3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0.1662550887060433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6.3878171505428702E-5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7.502599260065388E-3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8.5483004927051471</v>
      </c>
      <c r="C14" s="21"/>
      <c r="D14" s="21">
        <f t="shared" ref="D14:M14" si="0">((D5)*10^9/3600)+D12</f>
        <v>15.476705405787307</v>
      </c>
      <c r="E14" s="21">
        <f t="shared" si="0"/>
        <v>517.96519533101048</v>
      </c>
      <c r="F14" s="21"/>
      <c r="G14" s="21">
        <f t="shared" si="0"/>
        <v>152437.35754689932</v>
      </c>
      <c r="H14" s="21">
        <f t="shared" si="0"/>
        <v>23528.388216779182</v>
      </c>
      <c r="I14" s="21"/>
      <c r="J14" s="21"/>
      <c r="K14" s="21"/>
      <c r="L14" s="21"/>
      <c r="M14" s="21">
        <f t="shared" si="0"/>
        <v>7883.9113583566941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0.1637438394426417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1.3997315433849666</v>
      </c>
      <c r="C18" s="23"/>
      <c r="D18" s="23">
        <f t="shared" ref="D18:M18" si="1">D14*D16</f>
        <v>3.1262944919690363</v>
      </c>
      <c r="E18" s="23">
        <f t="shared" si="1"/>
        <v>117.57809934013939</v>
      </c>
      <c r="F18" s="23"/>
      <c r="G18" s="23">
        <f t="shared" si="1"/>
        <v>40700.774465022121</v>
      </c>
      <c r="H18" s="23">
        <f t="shared" si="1"/>
        <v>5858.5686659780158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6.8136999598351214E-3</v>
      </c>
      <c r="H50" s="323">
        <f t="shared" si="2"/>
        <v>0</v>
      </c>
      <c r="I50" s="323">
        <f t="shared" si="2"/>
        <v>0</v>
      </c>
      <c r="J50" s="323">
        <f t="shared" si="2"/>
        <v>0</v>
      </c>
      <c r="K50" s="323">
        <f t="shared" si="2"/>
        <v>0</v>
      </c>
      <c r="L50" s="323">
        <f t="shared" si="2"/>
        <v>0</v>
      </c>
      <c r="M50" s="323">
        <f t="shared" si="2"/>
        <v>3.0302190295419698E-4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6.8136999598351214E-3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3.0302190295419698E-4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1892.6944332875337</v>
      </c>
      <c r="H54" s="21">
        <f t="shared" si="3"/>
        <v>0</v>
      </c>
      <c r="I54" s="21">
        <f t="shared" si="3"/>
        <v>0</v>
      </c>
      <c r="J54" s="21">
        <f t="shared" si="3"/>
        <v>0</v>
      </c>
      <c r="K54" s="21">
        <f t="shared" si="3"/>
        <v>0</v>
      </c>
      <c r="L54" s="21">
        <f t="shared" si="3"/>
        <v>0</v>
      </c>
      <c r="M54" s="21">
        <f t="shared" si="3"/>
        <v>84.172750820610261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0.1637438394426417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505.34941368777152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11316.950500269095</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6927.8887615443546</v>
      </c>
      <c r="C6" s="1142"/>
      <c r="D6" s="1145"/>
      <c r="E6" s="1145"/>
      <c r="F6" s="1148"/>
      <c r="G6" s="1151"/>
      <c r="H6" s="1139"/>
      <c r="I6" s="1145"/>
      <c r="J6" s="1145"/>
      <c r="K6" s="1145"/>
      <c r="L6" s="1175"/>
      <c r="M6" s="561"/>
      <c r="N6" s="1187"/>
      <c r="O6" s="1188"/>
      <c r="Q6" s="559"/>
      <c r="R6" s="1172"/>
      <c r="S6" s="1172"/>
    </row>
    <row r="7" spans="1:19" s="549" customFormat="1">
      <c r="A7" s="562" t="s">
        <v>252</v>
      </c>
      <c r="B7" s="563">
        <f>N57</f>
        <v>30240</v>
      </c>
      <c r="C7" s="564">
        <f>B100</f>
        <v>35576.470588235294</v>
      </c>
      <c r="D7" s="565"/>
      <c r="E7" s="565">
        <f>E100</f>
        <v>0</v>
      </c>
      <c r="F7" s="566"/>
      <c r="G7" s="567"/>
      <c r="H7" s="565">
        <f>I100</f>
        <v>0</v>
      </c>
      <c r="I7" s="565">
        <f>G100+F100</f>
        <v>0</v>
      </c>
      <c r="J7" s="565">
        <f>H100+D100+C100</f>
        <v>0</v>
      </c>
      <c r="K7" s="565"/>
      <c r="L7" s="568"/>
      <c r="M7" s="569">
        <f>C7*$C$11+D7*$D$11+E7*$E$11+F7*$F$11+G7*$G$11+H7*$H$11+I7*$I$11+J7*$J$11</f>
        <v>7186.4470588235299</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48484.839261813453</v>
      </c>
      <c r="C9" s="580">
        <f t="shared" ref="C9:L9" si="0">SUM(C7:C8)</f>
        <v>35576.470588235294</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7186.4470588235299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43200</v>
      </c>
      <c r="C16" s="596">
        <f>B101</f>
        <v>50823.529411764706</v>
      </c>
      <c r="D16" s="597"/>
      <c r="E16" s="597">
        <f>E101</f>
        <v>0</v>
      </c>
      <c r="F16" s="598"/>
      <c r="G16" s="599"/>
      <c r="H16" s="596">
        <f>I101</f>
        <v>0</v>
      </c>
      <c r="I16" s="597">
        <f>G101+F101</f>
        <v>0</v>
      </c>
      <c r="J16" s="597">
        <f>H101+D101+C101</f>
        <v>0</v>
      </c>
      <c r="K16" s="597"/>
      <c r="L16" s="600"/>
      <c r="M16" s="601">
        <f>C16*$C$21+E16*$E$21+H16*$H$21+I16*$I$21+J16*$J$21+D16*$D$21+F16*$F$21+G16*$G$21+K16*$K$21+L16*$L$21</f>
        <v>10266.352941176472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43200</v>
      </c>
      <c r="C19" s="579">
        <f>SUM(C16:C18)</f>
        <v>50823.529411764706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10266.352941176472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46020</v>
      </c>
      <c r="C27" s="839">
        <v>9170</v>
      </c>
      <c r="D27" s="658" t="s">
        <v>840</v>
      </c>
      <c r="E27" s="657" t="s">
        <v>841</v>
      </c>
      <c r="F27" s="657" t="s">
        <v>842</v>
      </c>
      <c r="G27" s="657" t="s">
        <v>843</v>
      </c>
      <c r="H27" s="657" t="s">
        <v>844</v>
      </c>
      <c r="I27" s="657" t="s">
        <v>841</v>
      </c>
      <c r="J27" s="838">
        <v>40374</v>
      </c>
      <c r="K27" s="838">
        <v>40374</v>
      </c>
      <c r="L27" s="657" t="s">
        <v>845</v>
      </c>
      <c r="M27" s="657">
        <v>1600</v>
      </c>
      <c r="N27" s="657">
        <v>7200</v>
      </c>
      <c r="O27" s="657">
        <v>10285.714285714286</v>
      </c>
      <c r="P27" s="657">
        <v>20571.428571428572</v>
      </c>
      <c r="Q27" s="657">
        <v>0</v>
      </c>
      <c r="R27" s="657">
        <v>0</v>
      </c>
      <c r="S27" s="657">
        <v>0</v>
      </c>
      <c r="T27" s="657">
        <v>0</v>
      </c>
      <c r="U27" s="657">
        <v>0</v>
      </c>
      <c r="V27" s="657">
        <v>0</v>
      </c>
      <c r="W27" s="657">
        <v>0</v>
      </c>
      <c r="X27" s="657">
        <v>10</v>
      </c>
      <c r="Y27" s="657" t="s">
        <v>112</v>
      </c>
      <c r="Z27" s="659" t="s">
        <v>112</v>
      </c>
    </row>
    <row r="28" spans="1:26" s="611" customFormat="1" ht="25.5">
      <c r="A28" s="610"/>
      <c r="B28" s="839">
        <v>46020</v>
      </c>
      <c r="C28" s="839">
        <v>9170</v>
      </c>
      <c r="D28" s="658" t="s">
        <v>846</v>
      </c>
      <c r="E28" s="657" t="s">
        <v>847</v>
      </c>
      <c r="F28" s="657" t="s">
        <v>848</v>
      </c>
      <c r="G28" s="657" t="s">
        <v>843</v>
      </c>
      <c r="H28" s="657" t="s">
        <v>844</v>
      </c>
      <c r="I28" s="657" t="s">
        <v>847</v>
      </c>
      <c r="J28" s="838">
        <v>40590</v>
      </c>
      <c r="K28" s="838">
        <v>40590</v>
      </c>
      <c r="L28" s="657" t="s">
        <v>845</v>
      </c>
      <c r="M28" s="657">
        <v>5120</v>
      </c>
      <c r="N28" s="657">
        <v>23040</v>
      </c>
      <c r="O28" s="657">
        <v>32914.285714285717</v>
      </c>
      <c r="P28" s="657">
        <v>65828.571428571435</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6720</v>
      </c>
      <c r="N57" s="615">
        <f>SUM(N27:N56)</f>
        <v>30240</v>
      </c>
      <c r="O57" s="615">
        <f t="shared" ref="O57:W57" si="2">SUM(O27:O56)</f>
        <v>43200</v>
      </c>
      <c r="P57" s="615">
        <f t="shared" si="2"/>
        <v>86400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6720</v>
      </c>
      <c r="N60" s="620">
        <f t="shared" ref="N60:W60" si="4">SUMIF($Z$27:$Z$56,"landbouw",N27:N56)</f>
        <v>30240</v>
      </c>
      <c r="O60" s="620">
        <f t="shared" si="4"/>
        <v>43200</v>
      </c>
      <c r="P60" s="620">
        <f t="shared" si="4"/>
        <v>86400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35576.470588235294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50823.529411764706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14586.91567292131</v>
      </c>
      <c r="D10" s="704">
        <f ca="1">tertiair!C16</f>
        <v>0</v>
      </c>
      <c r="E10" s="704">
        <f ca="1">tertiair!D16</f>
        <v>19994.553965063969</v>
      </c>
      <c r="F10" s="704">
        <f>tertiair!E16</f>
        <v>179.69960714051584</v>
      </c>
      <c r="G10" s="704">
        <f ca="1">tertiair!F16</f>
        <v>2677.6532689537548</v>
      </c>
      <c r="H10" s="704">
        <f>tertiair!G16</f>
        <v>0</v>
      </c>
      <c r="I10" s="704">
        <f>tertiair!H16</f>
        <v>0</v>
      </c>
      <c r="J10" s="704">
        <f>tertiair!I16</f>
        <v>0</v>
      </c>
      <c r="K10" s="704">
        <f>tertiair!J16</f>
        <v>0</v>
      </c>
      <c r="L10" s="704">
        <f>tertiair!K16</f>
        <v>0</v>
      </c>
      <c r="M10" s="704">
        <f ca="1">tertiair!L16</f>
        <v>0</v>
      </c>
      <c r="N10" s="704">
        <f>tertiair!M16</f>
        <v>0</v>
      </c>
      <c r="O10" s="704">
        <f ca="1">tertiair!N16</f>
        <v>1382.615659047299</v>
      </c>
      <c r="P10" s="704">
        <f>tertiair!O16</f>
        <v>0</v>
      </c>
      <c r="Q10" s="705">
        <f>tertiair!P16</f>
        <v>0</v>
      </c>
      <c r="R10" s="707">
        <f ca="1">SUM(C10:Q10)</f>
        <v>38821.438173126851</v>
      </c>
      <c r="S10" s="67"/>
    </row>
    <row r="11" spans="1:19" s="459" customFormat="1">
      <c r="A11" s="858" t="s">
        <v>225</v>
      </c>
      <c r="B11" s="863"/>
      <c r="C11" s="704">
        <f>huishoudens!B8</f>
        <v>34549.661221857416</v>
      </c>
      <c r="D11" s="704">
        <f>huishoudens!C8</f>
        <v>0</v>
      </c>
      <c r="E11" s="704">
        <f>huishoudens!D8</f>
        <v>91320.971826990382</v>
      </c>
      <c r="F11" s="704">
        <f>huishoudens!E8</f>
        <v>6623.6702109241796</v>
      </c>
      <c r="G11" s="704">
        <f>huishoudens!F8</f>
        <v>0</v>
      </c>
      <c r="H11" s="704">
        <f>huishoudens!G8</f>
        <v>0</v>
      </c>
      <c r="I11" s="704">
        <f>huishoudens!H8</f>
        <v>0</v>
      </c>
      <c r="J11" s="704">
        <f>huishoudens!I8</f>
        <v>0</v>
      </c>
      <c r="K11" s="704">
        <f>huishoudens!J8</f>
        <v>1529.6836030419236</v>
      </c>
      <c r="L11" s="704">
        <f>huishoudens!K8</f>
        <v>0</v>
      </c>
      <c r="M11" s="704">
        <f>huishoudens!L8</f>
        <v>0</v>
      </c>
      <c r="N11" s="704">
        <f>huishoudens!M8</f>
        <v>0</v>
      </c>
      <c r="O11" s="704">
        <f>huishoudens!N8</f>
        <v>30712.840855385133</v>
      </c>
      <c r="P11" s="704">
        <f>huishoudens!O8</f>
        <v>170.40333333333334</v>
      </c>
      <c r="Q11" s="705">
        <f>huishoudens!P8</f>
        <v>629.20000000000005</v>
      </c>
      <c r="R11" s="707">
        <f>SUM(C11:Q11)</f>
        <v>165536.43105153239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7359.140991817294</v>
      </c>
      <c r="D13" s="704">
        <f>industrie!C18</f>
        <v>0</v>
      </c>
      <c r="E13" s="704">
        <f>industrie!D18</f>
        <v>9946.5699151161898</v>
      </c>
      <c r="F13" s="704">
        <f>industrie!E18</f>
        <v>1084.4745541947257</v>
      </c>
      <c r="G13" s="704">
        <f>industrie!F18</f>
        <v>4489.8267195209519</v>
      </c>
      <c r="H13" s="704">
        <f>industrie!G18</f>
        <v>0</v>
      </c>
      <c r="I13" s="704">
        <f>industrie!H18</f>
        <v>0</v>
      </c>
      <c r="J13" s="704">
        <f>industrie!I18</f>
        <v>0</v>
      </c>
      <c r="K13" s="704">
        <f>industrie!J18</f>
        <v>6.0167284569226966</v>
      </c>
      <c r="L13" s="704">
        <f>industrie!K18</f>
        <v>0</v>
      </c>
      <c r="M13" s="704">
        <f>industrie!L18</f>
        <v>0</v>
      </c>
      <c r="N13" s="704">
        <f>industrie!M18</f>
        <v>0</v>
      </c>
      <c r="O13" s="704">
        <f>industrie!N18</f>
        <v>1822.765912855129</v>
      </c>
      <c r="P13" s="704">
        <f>industrie!O18</f>
        <v>0</v>
      </c>
      <c r="Q13" s="705">
        <f>industrie!P18</f>
        <v>0</v>
      </c>
      <c r="R13" s="707">
        <f>SUM(C13:Q13)</f>
        <v>24708.794821961212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56495.717886596023</v>
      </c>
      <c r="D15" s="709">
        <f t="shared" ref="D15:Q15" ca="1" si="0">SUM(D9:D14)</f>
        <v>0</v>
      </c>
      <c r="E15" s="709">
        <f t="shared" ca="1" si="0"/>
        <v>121262.09570717055</v>
      </c>
      <c r="F15" s="709">
        <f t="shared" si="0"/>
        <v>7887.8443722594211</v>
      </c>
      <c r="G15" s="709">
        <f t="shared" ca="1" si="0"/>
        <v>7167.4799884747063</v>
      </c>
      <c r="H15" s="709">
        <f t="shared" si="0"/>
        <v>0</v>
      </c>
      <c r="I15" s="709">
        <f t="shared" si="0"/>
        <v>0</v>
      </c>
      <c r="J15" s="709">
        <f t="shared" si="0"/>
        <v>0</v>
      </c>
      <c r="K15" s="709">
        <f t="shared" si="0"/>
        <v>1535.7003314988463</v>
      </c>
      <c r="L15" s="709">
        <f t="shared" si="0"/>
        <v>0</v>
      </c>
      <c r="M15" s="709">
        <f t="shared" ca="1" si="0"/>
        <v>0</v>
      </c>
      <c r="N15" s="709">
        <f t="shared" si="0"/>
        <v>0</v>
      </c>
      <c r="O15" s="709">
        <f t="shared" ca="1" si="0"/>
        <v>33918.222427287561</v>
      </c>
      <c r="P15" s="709">
        <f t="shared" si="0"/>
        <v>170.40333333333334</v>
      </c>
      <c r="Q15" s="710">
        <f t="shared" si="0"/>
        <v>629.20000000000005</v>
      </c>
      <c r="R15" s="711">
        <f ca="1">SUM(R9:R14)</f>
        <v>229066.66404662043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1892.6944332875337</v>
      </c>
      <c r="I18" s="704">
        <f>transport!H54</f>
        <v>0</v>
      </c>
      <c r="J18" s="704">
        <f>transport!I54</f>
        <v>0</v>
      </c>
      <c r="K18" s="704">
        <f>transport!J54</f>
        <v>0</v>
      </c>
      <c r="L18" s="704">
        <f>transport!K54</f>
        <v>0</v>
      </c>
      <c r="M18" s="704">
        <f>transport!L54</f>
        <v>0</v>
      </c>
      <c r="N18" s="704">
        <f>transport!M54</f>
        <v>84.172750820610261</v>
      </c>
      <c r="O18" s="704">
        <f>transport!N54</f>
        <v>0</v>
      </c>
      <c r="P18" s="704">
        <f>transport!O54</f>
        <v>0</v>
      </c>
      <c r="Q18" s="705">
        <f>transport!P54</f>
        <v>0</v>
      </c>
      <c r="R18" s="707">
        <f>SUM(C18:Q18)</f>
        <v>1976.8671841081439</v>
      </c>
      <c r="S18" s="67"/>
    </row>
    <row r="19" spans="1:19" s="459" customFormat="1" ht="15" thickBot="1">
      <c r="A19" s="858" t="s">
        <v>307</v>
      </c>
      <c r="B19" s="863"/>
      <c r="C19" s="713">
        <f>transport!B14</f>
        <v>8.5483004927051471</v>
      </c>
      <c r="D19" s="713">
        <f>transport!C14</f>
        <v>0</v>
      </c>
      <c r="E19" s="713">
        <f>transport!D14</f>
        <v>15.476705405787307</v>
      </c>
      <c r="F19" s="713">
        <f>transport!E14</f>
        <v>517.96519533101048</v>
      </c>
      <c r="G19" s="713">
        <f>transport!F14</f>
        <v>0</v>
      </c>
      <c r="H19" s="713">
        <f>transport!G14</f>
        <v>152437.35754689932</v>
      </c>
      <c r="I19" s="713">
        <f>transport!H14</f>
        <v>23528.388216779182</v>
      </c>
      <c r="J19" s="713">
        <f>transport!I14</f>
        <v>0</v>
      </c>
      <c r="K19" s="713">
        <f>transport!J14</f>
        <v>0</v>
      </c>
      <c r="L19" s="713">
        <f>transport!K14</f>
        <v>0</v>
      </c>
      <c r="M19" s="713">
        <f>transport!L14</f>
        <v>0</v>
      </c>
      <c r="N19" s="713">
        <f>transport!M14</f>
        <v>7883.9113583566941</v>
      </c>
      <c r="O19" s="713">
        <f>transport!N14</f>
        <v>0</v>
      </c>
      <c r="P19" s="713">
        <f>transport!O14</f>
        <v>0</v>
      </c>
      <c r="Q19" s="714">
        <f>transport!P14</f>
        <v>0</v>
      </c>
      <c r="R19" s="715">
        <f>SUM(C19:Q19)</f>
        <v>184391.64732326468</v>
      </c>
      <c r="S19" s="67"/>
    </row>
    <row r="20" spans="1:19" s="459" customFormat="1" ht="15.75" thickBot="1">
      <c r="A20" s="716" t="s">
        <v>230</v>
      </c>
      <c r="B20" s="866"/>
      <c r="C20" s="861">
        <f>SUM(C17:C19)</f>
        <v>8.5483004927051471</v>
      </c>
      <c r="D20" s="717">
        <f t="shared" ref="D20:R20" si="1">SUM(D17:D19)</f>
        <v>0</v>
      </c>
      <c r="E20" s="717">
        <f t="shared" si="1"/>
        <v>15.476705405787307</v>
      </c>
      <c r="F20" s="717">
        <f t="shared" si="1"/>
        <v>517.96519533101048</v>
      </c>
      <c r="G20" s="717">
        <f t="shared" si="1"/>
        <v>0</v>
      </c>
      <c r="H20" s="717">
        <f t="shared" si="1"/>
        <v>154330.05198018686</v>
      </c>
      <c r="I20" s="717">
        <f t="shared" si="1"/>
        <v>23528.388216779182</v>
      </c>
      <c r="J20" s="717">
        <f t="shared" si="1"/>
        <v>0</v>
      </c>
      <c r="K20" s="717">
        <f t="shared" si="1"/>
        <v>0</v>
      </c>
      <c r="L20" s="717">
        <f t="shared" si="1"/>
        <v>0</v>
      </c>
      <c r="M20" s="717">
        <f t="shared" si="1"/>
        <v>0</v>
      </c>
      <c r="N20" s="717">
        <f t="shared" si="1"/>
        <v>7968.0841091773045</v>
      </c>
      <c r="O20" s="717">
        <f t="shared" si="1"/>
        <v>0</v>
      </c>
      <c r="P20" s="717">
        <f t="shared" si="1"/>
        <v>0</v>
      </c>
      <c r="Q20" s="718">
        <f t="shared" si="1"/>
        <v>0</v>
      </c>
      <c r="R20" s="719">
        <f t="shared" si="1"/>
        <v>186368.51450737283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5125.825381874316</v>
      </c>
      <c r="D22" s="713">
        <f>+landbouw!C8</f>
        <v>43200</v>
      </c>
      <c r="E22" s="713">
        <f>+landbouw!D8</f>
        <v>0</v>
      </c>
      <c r="F22" s="713">
        <f>+landbouw!E8</f>
        <v>64.592003217316488</v>
      </c>
      <c r="G22" s="713">
        <f>+landbouw!F8</f>
        <v>17685.381663452434</v>
      </c>
      <c r="H22" s="713">
        <f>+landbouw!G8</f>
        <v>0</v>
      </c>
      <c r="I22" s="713">
        <f>+landbouw!H8</f>
        <v>0</v>
      </c>
      <c r="J22" s="713">
        <f>+landbouw!I8</f>
        <v>0</v>
      </c>
      <c r="K22" s="713">
        <f>+landbouw!J8</f>
        <v>770.86586910743677</v>
      </c>
      <c r="L22" s="713">
        <f>+landbouw!K8</f>
        <v>0</v>
      </c>
      <c r="M22" s="713">
        <f>+landbouw!L8</f>
        <v>0</v>
      </c>
      <c r="N22" s="713">
        <f>+landbouw!M8</f>
        <v>0</v>
      </c>
      <c r="O22" s="713">
        <f>+landbouw!N8</f>
        <v>0</v>
      </c>
      <c r="P22" s="713">
        <f>+landbouw!O8</f>
        <v>0</v>
      </c>
      <c r="Q22" s="714">
        <f>+landbouw!P8</f>
        <v>0</v>
      </c>
      <c r="R22" s="715">
        <f>SUM(C22:Q22)</f>
        <v>66846.664917651506</v>
      </c>
      <c r="S22" s="67"/>
    </row>
    <row r="23" spans="1:19" s="459" customFormat="1" ht="17.25" thickTop="1" thickBot="1">
      <c r="A23" s="720" t="s">
        <v>116</v>
      </c>
      <c r="B23" s="852"/>
      <c r="C23" s="721">
        <f ca="1">C20+C15+C22</f>
        <v>61630.091568963049</v>
      </c>
      <c r="D23" s="721">
        <f t="shared" ref="D23:Q23" ca="1" si="2">D20+D15+D22</f>
        <v>43200</v>
      </c>
      <c r="E23" s="721">
        <f t="shared" ca="1" si="2"/>
        <v>121277.57241257634</v>
      </c>
      <c r="F23" s="721">
        <f t="shared" si="2"/>
        <v>8470.4015708077477</v>
      </c>
      <c r="G23" s="721">
        <f t="shared" ca="1" si="2"/>
        <v>24852.861651927138</v>
      </c>
      <c r="H23" s="721">
        <f t="shared" si="2"/>
        <v>154330.05198018686</v>
      </c>
      <c r="I23" s="721">
        <f t="shared" si="2"/>
        <v>23528.388216779182</v>
      </c>
      <c r="J23" s="721">
        <f t="shared" si="2"/>
        <v>0</v>
      </c>
      <c r="K23" s="721">
        <f t="shared" si="2"/>
        <v>2306.566200606283</v>
      </c>
      <c r="L23" s="721">
        <f t="shared" si="2"/>
        <v>0</v>
      </c>
      <c r="M23" s="721">
        <f t="shared" ca="1" si="2"/>
        <v>0</v>
      </c>
      <c r="N23" s="721">
        <f t="shared" si="2"/>
        <v>7968.0841091773045</v>
      </c>
      <c r="O23" s="721">
        <f t="shared" ca="1" si="2"/>
        <v>33918.222427287561</v>
      </c>
      <c r="P23" s="721">
        <f t="shared" si="2"/>
        <v>170.40333333333334</v>
      </c>
      <c r="Q23" s="722">
        <f t="shared" si="2"/>
        <v>629.20000000000005</v>
      </c>
      <c r="R23" s="723">
        <f ca="1">R20+R15+R22</f>
        <v>482281.84347164474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2388.517577910181</v>
      </c>
      <c r="D36" s="704">
        <f ca="1">tertiair!C20</f>
        <v>0</v>
      </c>
      <c r="E36" s="704">
        <f ca="1">tertiair!D20</f>
        <v>4038.8999009429222</v>
      </c>
      <c r="F36" s="704">
        <f>tertiair!E20</f>
        <v>40.791810820897098</v>
      </c>
      <c r="G36" s="704">
        <f ca="1">tertiair!F20</f>
        <v>714.93342281065259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7183.1427124846532</v>
      </c>
    </row>
    <row r="37" spans="1:18">
      <c r="A37" s="873" t="s">
        <v>225</v>
      </c>
      <c r="B37" s="880"/>
      <c r="C37" s="704">
        <f ca="1">huishoudens!B12</f>
        <v>5657.2941799094851</v>
      </c>
      <c r="D37" s="704">
        <f ca="1">huishoudens!C12</f>
        <v>0</v>
      </c>
      <c r="E37" s="704">
        <f>huishoudens!D12</f>
        <v>18446.836309052058</v>
      </c>
      <c r="F37" s="704">
        <f>huishoudens!E12</f>
        <v>1503.5731378797889</v>
      </c>
      <c r="G37" s="704">
        <f>huishoudens!F12</f>
        <v>0</v>
      </c>
      <c r="H37" s="704">
        <f>huishoudens!G12</f>
        <v>0</v>
      </c>
      <c r="I37" s="704">
        <f>huishoudens!H12</f>
        <v>0</v>
      </c>
      <c r="J37" s="704">
        <f>huishoudens!I12</f>
        <v>0</v>
      </c>
      <c r="K37" s="704">
        <f>huishoudens!J12</f>
        <v>541.50799547684096</v>
      </c>
      <c r="L37" s="704">
        <f>huishoudens!K12</f>
        <v>0</v>
      </c>
      <c r="M37" s="704">
        <f>huishoudens!L12</f>
        <v>0</v>
      </c>
      <c r="N37" s="704">
        <f>huishoudens!M12</f>
        <v>0</v>
      </c>
      <c r="O37" s="704">
        <f>huishoudens!N12</f>
        <v>0</v>
      </c>
      <c r="P37" s="704">
        <f>huishoudens!O12</f>
        <v>0</v>
      </c>
      <c r="Q37" s="814">
        <f>huishoudens!P12</f>
        <v>0</v>
      </c>
      <c r="R37" s="905">
        <f ca="1">SUM(C37:Q37)</f>
        <v>26149.211622318173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1205.0140009998941</v>
      </c>
      <c r="D39" s="704">
        <f ca="1">industrie!C22</f>
        <v>0</v>
      </c>
      <c r="E39" s="704">
        <f>industrie!D22</f>
        <v>2009.2071228534705</v>
      </c>
      <c r="F39" s="704">
        <f>industrie!E22</f>
        <v>246.17572380220273</v>
      </c>
      <c r="G39" s="704">
        <f>industrie!F22</f>
        <v>1198.7837341120942</v>
      </c>
      <c r="H39" s="704">
        <f>industrie!G22</f>
        <v>0</v>
      </c>
      <c r="I39" s="704">
        <f>industrie!H22</f>
        <v>0</v>
      </c>
      <c r="J39" s="704">
        <f>industrie!I22</f>
        <v>0</v>
      </c>
      <c r="K39" s="704">
        <f>industrie!J22</f>
        <v>2.1299218737506345</v>
      </c>
      <c r="L39" s="704">
        <f>industrie!K22</f>
        <v>0</v>
      </c>
      <c r="M39" s="704">
        <f>industrie!L22</f>
        <v>0</v>
      </c>
      <c r="N39" s="704">
        <f>industrie!M22</f>
        <v>0</v>
      </c>
      <c r="O39" s="704">
        <f>industrie!N22</f>
        <v>0</v>
      </c>
      <c r="P39" s="704">
        <f>industrie!O22</f>
        <v>0</v>
      </c>
      <c r="Q39" s="814">
        <f>industrie!P22</f>
        <v>0</v>
      </c>
      <c r="R39" s="906">
        <f ca="1">SUM(C39:Q39)</f>
        <v>4661.3105036414117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9250.8257588195593</v>
      </c>
      <c r="D41" s="749">
        <f t="shared" ref="D41:R41" ca="1" si="4">SUM(D35:D40)</f>
        <v>0</v>
      </c>
      <c r="E41" s="749">
        <f t="shared" ca="1" si="4"/>
        <v>24494.943332848448</v>
      </c>
      <c r="F41" s="749">
        <f t="shared" si="4"/>
        <v>1790.5406725028888</v>
      </c>
      <c r="G41" s="749">
        <f t="shared" ca="1" si="4"/>
        <v>1913.7171569227467</v>
      </c>
      <c r="H41" s="749">
        <f t="shared" si="4"/>
        <v>0</v>
      </c>
      <c r="I41" s="749">
        <f t="shared" si="4"/>
        <v>0</v>
      </c>
      <c r="J41" s="749">
        <f t="shared" si="4"/>
        <v>0</v>
      </c>
      <c r="K41" s="749">
        <f t="shared" si="4"/>
        <v>543.63791735059158</v>
      </c>
      <c r="L41" s="749">
        <f t="shared" si="4"/>
        <v>0</v>
      </c>
      <c r="M41" s="749">
        <f t="shared" ca="1" si="4"/>
        <v>0</v>
      </c>
      <c r="N41" s="749">
        <f t="shared" si="4"/>
        <v>0</v>
      </c>
      <c r="O41" s="749">
        <f t="shared" ca="1" si="4"/>
        <v>0</v>
      </c>
      <c r="P41" s="749">
        <f t="shared" si="4"/>
        <v>0</v>
      </c>
      <c r="Q41" s="750">
        <f t="shared" si="4"/>
        <v>0</v>
      </c>
      <c r="R41" s="751">
        <f t="shared" ca="1" si="4"/>
        <v>37993.664838444238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505.34941368777152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505.34941368777152</v>
      </c>
    </row>
    <row r="45" spans="1:18" ht="15" thickBot="1">
      <c r="A45" s="876" t="s">
        <v>307</v>
      </c>
      <c r="B45" s="886"/>
      <c r="C45" s="713">
        <f ca="1">transport!B18</f>
        <v>1.3997315433849666</v>
      </c>
      <c r="D45" s="713">
        <f>transport!C18</f>
        <v>0</v>
      </c>
      <c r="E45" s="713">
        <f>transport!D18</f>
        <v>3.1262944919690363</v>
      </c>
      <c r="F45" s="713">
        <f>transport!E18</f>
        <v>117.57809934013939</v>
      </c>
      <c r="G45" s="713">
        <f>transport!F18</f>
        <v>0</v>
      </c>
      <c r="H45" s="713">
        <f>transport!G18</f>
        <v>40700.774465022121</v>
      </c>
      <c r="I45" s="713">
        <f>transport!H18</f>
        <v>5858.5686659780158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46681.447256375635</v>
      </c>
    </row>
    <row r="46" spans="1:18" ht="15.75" thickBot="1">
      <c r="A46" s="874" t="s">
        <v>230</v>
      </c>
      <c r="B46" s="887"/>
      <c r="C46" s="749">
        <f t="shared" ref="C46:R46" ca="1" si="5">SUM(C43:C45)</f>
        <v>1.3997315433849666</v>
      </c>
      <c r="D46" s="749">
        <f t="shared" ca="1" si="5"/>
        <v>0</v>
      </c>
      <c r="E46" s="749">
        <f t="shared" si="5"/>
        <v>3.1262944919690363</v>
      </c>
      <c r="F46" s="749">
        <f t="shared" si="5"/>
        <v>117.57809934013939</v>
      </c>
      <c r="G46" s="749">
        <f t="shared" si="5"/>
        <v>0</v>
      </c>
      <c r="H46" s="749">
        <f t="shared" si="5"/>
        <v>41206.123878709892</v>
      </c>
      <c r="I46" s="749">
        <f t="shared" si="5"/>
        <v>5858.5686659780158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47186.796670063406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839.32232834064564</v>
      </c>
      <c r="D48" s="704">
        <f ca="1">+landbouw!C12</f>
        <v>10266.352941176472</v>
      </c>
      <c r="E48" s="704">
        <f>+landbouw!D12</f>
        <v>0</v>
      </c>
      <c r="F48" s="704">
        <f>+landbouw!E12</f>
        <v>14.662384730330844</v>
      </c>
      <c r="G48" s="704">
        <f>+landbouw!F12</f>
        <v>4721.9969041417999</v>
      </c>
      <c r="H48" s="704">
        <f>+landbouw!G12</f>
        <v>0</v>
      </c>
      <c r="I48" s="704">
        <f>+landbouw!H12</f>
        <v>0</v>
      </c>
      <c r="J48" s="704">
        <f>+landbouw!I12</f>
        <v>0</v>
      </c>
      <c r="K48" s="704">
        <f>+landbouw!J12</f>
        <v>272.88651766403262</v>
      </c>
      <c r="L48" s="704">
        <f>+landbouw!K12</f>
        <v>0</v>
      </c>
      <c r="M48" s="704">
        <f>+landbouw!L12</f>
        <v>0</v>
      </c>
      <c r="N48" s="704">
        <f>+landbouw!M12</f>
        <v>0</v>
      </c>
      <c r="O48" s="704">
        <f>+landbouw!N12</f>
        <v>0</v>
      </c>
      <c r="P48" s="704">
        <f>+landbouw!O12</f>
        <v>0</v>
      </c>
      <c r="Q48" s="705">
        <f>+landbouw!P12</f>
        <v>0</v>
      </c>
      <c r="R48" s="747">
        <f ca="1">SUM(C48:Q48)</f>
        <v>16115.22107605328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10091.54781870359</v>
      </c>
      <c r="D53" s="759">
        <f t="shared" ref="D53:Q53" ca="1" si="6">D41+D46+D48</f>
        <v>10266.352941176472</v>
      </c>
      <c r="E53" s="759">
        <f t="shared" ca="1" si="6"/>
        <v>24498.069627340417</v>
      </c>
      <c r="F53" s="759">
        <f t="shared" si="6"/>
        <v>1922.7811565733591</v>
      </c>
      <c r="G53" s="759">
        <f t="shared" ca="1" si="6"/>
        <v>6635.7140610645465</v>
      </c>
      <c r="H53" s="759">
        <f t="shared" si="6"/>
        <v>41206.123878709892</v>
      </c>
      <c r="I53" s="759">
        <f t="shared" si="6"/>
        <v>5858.5686659780158</v>
      </c>
      <c r="J53" s="759">
        <f t="shared" si="6"/>
        <v>0</v>
      </c>
      <c r="K53" s="759">
        <f t="shared" si="6"/>
        <v>816.52443501462426</v>
      </c>
      <c r="L53" s="759">
        <f t="shared" si="6"/>
        <v>0</v>
      </c>
      <c r="M53" s="759">
        <f t="shared" ca="1" si="6"/>
        <v>0</v>
      </c>
      <c r="N53" s="759">
        <f t="shared" si="6"/>
        <v>0</v>
      </c>
      <c r="O53" s="759">
        <f t="shared" ca="1" si="6"/>
        <v>0</v>
      </c>
      <c r="P53" s="759">
        <f>P41+P46+P48</f>
        <v>0</v>
      </c>
      <c r="Q53" s="760">
        <f t="shared" si="6"/>
        <v>0</v>
      </c>
      <c r="R53" s="761">
        <f ca="1">R41+R46+R48</f>
        <v>101295.68258456091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0.16374383944264168</v>
      </c>
      <c r="D55" s="824">
        <f t="shared" ca="1" si="7"/>
        <v>0.23764705882352943</v>
      </c>
      <c r="E55" s="824">
        <f t="shared" ca="1" si="7"/>
        <v>0.20199999999999999</v>
      </c>
      <c r="F55" s="824">
        <f t="shared" si="7"/>
        <v>0.22700000000000004</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11316.950500269095</v>
      </c>
      <c r="C64" s="781">
        <f>'lokale energieproductie'!B4</f>
        <v>11316.950500269095</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6927.8887615443546</v>
      </c>
      <c r="C66" s="781">
        <f>'lokale energieproductie'!B6</f>
        <v>6927.8887615443546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30240</v>
      </c>
      <c r="C67" s="780">
        <f>B67*IFERROR(SUM(J67:L67)/SUM(D67:M67),0)</f>
        <v>0</v>
      </c>
      <c r="D67" s="812">
        <f>'lokale energieproductie'!C7</f>
        <v>35576.470588235294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7186.4470588235299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48484.839261813453</v>
      </c>
      <c r="C69" s="789">
        <f>SUM(C64:C68)</f>
        <v>18244.839261813449</v>
      </c>
      <c r="D69" s="790">
        <f t="shared" ref="D69:M69" si="8">SUM(D67:D68)</f>
        <v>35576.470588235294</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7186.4470588235299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43200</v>
      </c>
      <c r="C78" s="803">
        <f>B78*IFERROR(SUM(I78:L78)/SUM(D78:M78),0)</f>
        <v>0</v>
      </c>
      <c r="D78" s="818">
        <f>'lokale energieproductie'!C16</f>
        <v>50823.529411764706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10266.352941176472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43200</v>
      </c>
      <c r="C81" s="789">
        <f>SUM(C78:C80)</f>
        <v>0</v>
      </c>
      <c r="D81" s="789">
        <f t="shared" ref="D81:P81" si="9">SUM(D78:D80)</f>
        <v>50823.529411764706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10266.352941176472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34549.661221857416</v>
      </c>
      <c r="C4" s="463">
        <f>huishoudens!C8</f>
        <v>0</v>
      </c>
      <c r="D4" s="463">
        <f>huishoudens!D8</f>
        <v>91320.971826990382</v>
      </c>
      <c r="E4" s="463">
        <f>huishoudens!E8</f>
        <v>6623.6702109241796</v>
      </c>
      <c r="F4" s="463">
        <f>huishoudens!F8</f>
        <v>0</v>
      </c>
      <c r="G4" s="463">
        <f>huishoudens!G8</f>
        <v>0</v>
      </c>
      <c r="H4" s="463">
        <f>huishoudens!H8</f>
        <v>0</v>
      </c>
      <c r="I4" s="463">
        <f>huishoudens!I8</f>
        <v>0</v>
      </c>
      <c r="J4" s="463">
        <f>huishoudens!J8</f>
        <v>1529.6836030419236</v>
      </c>
      <c r="K4" s="463">
        <f>huishoudens!K8</f>
        <v>0</v>
      </c>
      <c r="L4" s="463">
        <f>huishoudens!L8</f>
        <v>0</v>
      </c>
      <c r="M4" s="463">
        <f>huishoudens!M8</f>
        <v>0</v>
      </c>
      <c r="N4" s="463">
        <f>huishoudens!N8</f>
        <v>30712.840855385133</v>
      </c>
      <c r="O4" s="463">
        <f>huishoudens!O8</f>
        <v>170.40333333333334</v>
      </c>
      <c r="P4" s="464">
        <f>huishoudens!P8</f>
        <v>629.20000000000005</v>
      </c>
      <c r="Q4" s="465">
        <f>SUM(B4:P4)</f>
        <v>165536.43105153239</v>
      </c>
    </row>
    <row r="5" spans="1:17">
      <c r="A5" s="462" t="s">
        <v>156</v>
      </c>
      <c r="B5" s="463">
        <f ca="1">tertiair!B16</f>
        <v>13385.70867292131</v>
      </c>
      <c r="C5" s="463">
        <f ca="1">tertiair!C16</f>
        <v>0</v>
      </c>
      <c r="D5" s="463">
        <f ca="1">tertiair!D16</f>
        <v>19994.553965063969</v>
      </c>
      <c r="E5" s="463">
        <f>tertiair!E16</f>
        <v>179.69960714051584</v>
      </c>
      <c r="F5" s="463">
        <f ca="1">tertiair!F16</f>
        <v>2677.6532689537548</v>
      </c>
      <c r="G5" s="463">
        <f>tertiair!G16</f>
        <v>0</v>
      </c>
      <c r="H5" s="463">
        <f>tertiair!H16</f>
        <v>0</v>
      </c>
      <c r="I5" s="463">
        <f>tertiair!I16</f>
        <v>0</v>
      </c>
      <c r="J5" s="463">
        <f>tertiair!J16</f>
        <v>0</v>
      </c>
      <c r="K5" s="463">
        <f>tertiair!K16</f>
        <v>0</v>
      </c>
      <c r="L5" s="463">
        <f ca="1">tertiair!L16</f>
        <v>0</v>
      </c>
      <c r="M5" s="463">
        <f>tertiair!M16</f>
        <v>0</v>
      </c>
      <c r="N5" s="463">
        <f ca="1">tertiair!N16</f>
        <v>1382.615659047299</v>
      </c>
      <c r="O5" s="463">
        <f>tertiair!O16</f>
        <v>0</v>
      </c>
      <c r="P5" s="464">
        <f>tertiair!P16</f>
        <v>0</v>
      </c>
      <c r="Q5" s="462">
        <f t="shared" ref="Q5:Q13" ca="1" si="0">SUM(B5:P5)</f>
        <v>37620.231173126849</v>
      </c>
    </row>
    <row r="6" spans="1:17">
      <c r="A6" s="462" t="s">
        <v>194</v>
      </c>
      <c r="B6" s="463">
        <f>'openbare verlichting'!B8</f>
        <v>1201.2070000000001</v>
      </c>
      <c r="C6" s="463"/>
      <c r="D6" s="463"/>
      <c r="E6" s="463"/>
      <c r="F6" s="463"/>
      <c r="G6" s="463"/>
      <c r="H6" s="463"/>
      <c r="I6" s="463"/>
      <c r="J6" s="463"/>
      <c r="K6" s="463"/>
      <c r="L6" s="463"/>
      <c r="M6" s="463"/>
      <c r="N6" s="463"/>
      <c r="O6" s="463"/>
      <c r="P6" s="464"/>
      <c r="Q6" s="462">
        <f t="shared" si="0"/>
        <v>1201.2070000000001</v>
      </c>
    </row>
    <row r="7" spans="1:17">
      <c r="A7" s="462" t="s">
        <v>112</v>
      </c>
      <c r="B7" s="463">
        <f>landbouw!B8</f>
        <v>5125.825381874316</v>
      </c>
      <c r="C7" s="463">
        <f>landbouw!C8</f>
        <v>43200</v>
      </c>
      <c r="D7" s="463">
        <f>landbouw!D8</f>
        <v>0</v>
      </c>
      <c r="E7" s="463">
        <f>landbouw!E8</f>
        <v>64.592003217316488</v>
      </c>
      <c r="F7" s="463">
        <f>landbouw!F8</f>
        <v>17685.381663452434</v>
      </c>
      <c r="G7" s="463">
        <f>landbouw!G8</f>
        <v>0</v>
      </c>
      <c r="H7" s="463">
        <f>landbouw!H8</f>
        <v>0</v>
      </c>
      <c r="I7" s="463">
        <f>landbouw!I8</f>
        <v>0</v>
      </c>
      <c r="J7" s="463">
        <f>landbouw!J8</f>
        <v>770.86586910743677</v>
      </c>
      <c r="K7" s="463">
        <f>landbouw!K8</f>
        <v>0</v>
      </c>
      <c r="L7" s="463">
        <f>landbouw!L8</f>
        <v>0</v>
      </c>
      <c r="M7" s="463">
        <f>landbouw!M8</f>
        <v>0</v>
      </c>
      <c r="N7" s="463">
        <f>landbouw!N8</f>
        <v>0</v>
      </c>
      <c r="O7" s="463">
        <f>landbouw!O8</f>
        <v>0</v>
      </c>
      <c r="P7" s="464">
        <f>landbouw!P8</f>
        <v>0</v>
      </c>
      <c r="Q7" s="462">
        <f t="shared" si="0"/>
        <v>66846.664917651506</v>
      </c>
    </row>
    <row r="8" spans="1:17">
      <c r="A8" s="462" t="s">
        <v>657</v>
      </c>
      <c r="B8" s="463">
        <f>industrie!B18</f>
        <v>7359.140991817294</v>
      </c>
      <c r="C8" s="463">
        <f>industrie!C18</f>
        <v>0</v>
      </c>
      <c r="D8" s="463">
        <f>industrie!D18</f>
        <v>9946.5699151161898</v>
      </c>
      <c r="E8" s="463">
        <f>industrie!E18</f>
        <v>1084.4745541947257</v>
      </c>
      <c r="F8" s="463">
        <f>industrie!F18</f>
        <v>4489.8267195209519</v>
      </c>
      <c r="G8" s="463">
        <f>industrie!G18</f>
        <v>0</v>
      </c>
      <c r="H8" s="463">
        <f>industrie!H18</f>
        <v>0</v>
      </c>
      <c r="I8" s="463">
        <f>industrie!I18</f>
        <v>0</v>
      </c>
      <c r="J8" s="463">
        <f>industrie!J18</f>
        <v>6.0167284569226966</v>
      </c>
      <c r="K8" s="463">
        <f>industrie!K18</f>
        <v>0</v>
      </c>
      <c r="L8" s="463">
        <f>industrie!L18</f>
        <v>0</v>
      </c>
      <c r="M8" s="463">
        <f>industrie!M18</f>
        <v>0</v>
      </c>
      <c r="N8" s="463">
        <f>industrie!N18</f>
        <v>1822.765912855129</v>
      </c>
      <c r="O8" s="463">
        <f>industrie!O18</f>
        <v>0</v>
      </c>
      <c r="P8" s="464">
        <f>industrie!P18</f>
        <v>0</v>
      </c>
      <c r="Q8" s="462">
        <f t="shared" si="0"/>
        <v>24708.794821961212</v>
      </c>
    </row>
    <row r="9" spans="1:17" s="468" customFormat="1">
      <c r="A9" s="466" t="s">
        <v>574</v>
      </c>
      <c r="B9" s="467">
        <f>transport!B14</f>
        <v>8.5483004927051471</v>
      </c>
      <c r="C9" s="467">
        <f>transport!C14</f>
        <v>0</v>
      </c>
      <c r="D9" s="467">
        <f>transport!D14</f>
        <v>15.476705405787307</v>
      </c>
      <c r="E9" s="467">
        <f>transport!E14</f>
        <v>517.96519533101048</v>
      </c>
      <c r="F9" s="467">
        <f>transport!F14</f>
        <v>0</v>
      </c>
      <c r="G9" s="467">
        <f>transport!G14</f>
        <v>152437.35754689932</v>
      </c>
      <c r="H9" s="467">
        <f>transport!H14</f>
        <v>23528.388216779182</v>
      </c>
      <c r="I9" s="467">
        <f>transport!I14</f>
        <v>0</v>
      </c>
      <c r="J9" s="467">
        <f>transport!J14</f>
        <v>0</v>
      </c>
      <c r="K9" s="467">
        <f>transport!K14</f>
        <v>0</v>
      </c>
      <c r="L9" s="467">
        <f>transport!L14</f>
        <v>0</v>
      </c>
      <c r="M9" s="467">
        <f>transport!M14</f>
        <v>7883.9113583566941</v>
      </c>
      <c r="N9" s="467">
        <f>transport!N14</f>
        <v>0</v>
      </c>
      <c r="O9" s="467">
        <f>transport!O14</f>
        <v>0</v>
      </c>
      <c r="P9" s="467">
        <f>transport!P14</f>
        <v>0</v>
      </c>
      <c r="Q9" s="466">
        <f>SUM(B9:P9)</f>
        <v>184391.64732326468</v>
      </c>
    </row>
    <row r="10" spans="1:17">
      <c r="A10" s="462" t="s">
        <v>564</v>
      </c>
      <c r="B10" s="463">
        <f>transport!B54</f>
        <v>0</v>
      </c>
      <c r="C10" s="463">
        <f>transport!C54</f>
        <v>0</v>
      </c>
      <c r="D10" s="463">
        <f>transport!D54</f>
        <v>0</v>
      </c>
      <c r="E10" s="463">
        <f>transport!E54</f>
        <v>0</v>
      </c>
      <c r="F10" s="463">
        <f>transport!F54</f>
        <v>0</v>
      </c>
      <c r="G10" s="463">
        <f>transport!G54</f>
        <v>1892.6944332875337</v>
      </c>
      <c r="H10" s="463">
        <f>transport!H54</f>
        <v>0</v>
      </c>
      <c r="I10" s="463">
        <f>transport!I54</f>
        <v>0</v>
      </c>
      <c r="J10" s="463">
        <f>transport!J54</f>
        <v>0</v>
      </c>
      <c r="K10" s="463">
        <f>transport!K54</f>
        <v>0</v>
      </c>
      <c r="L10" s="463">
        <f>transport!L54</f>
        <v>0</v>
      </c>
      <c r="M10" s="463">
        <f>transport!M54</f>
        <v>84.172750820610261</v>
      </c>
      <c r="N10" s="463">
        <f>transport!N54</f>
        <v>0</v>
      </c>
      <c r="O10" s="463">
        <f>transport!O54</f>
        <v>0</v>
      </c>
      <c r="P10" s="464">
        <f>transport!P54</f>
        <v>0</v>
      </c>
      <c r="Q10" s="462">
        <f t="shared" si="0"/>
        <v>1976.8671841081439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61630.091568963049</v>
      </c>
      <c r="C14" s="473">
        <f t="shared" ref="C14:Q14" ca="1" si="1">SUM(C4:C13)</f>
        <v>43200</v>
      </c>
      <c r="D14" s="473">
        <f t="shared" ca="1" si="1"/>
        <v>121277.57241257634</v>
      </c>
      <c r="E14" s="473">
        <f t="shared" si="1"/>
        <v>8470.4015708077477</v>
      </c>
      <c r="F14" s="473">
        <f t="shared" ca="1" si="1"/>
        <v>24852.861651927142</v>
      </c>
      <c r="G14" s="473">
        <f t="shared" si="1"/>
        <v>154330.05198018686</v>
      </c>
      <c r="H14" s="473">
        <f t="shared" si="1"/>
        <v>23528.388216779182</v>
      </c>
      <c r="I14" s="473">
        <f t="shared" si="1"/>
        <v>0</v>
      </c>
      <c r="J14" s="473">
        <f t="shared" si="1"/>
        <v>2306.5662006062835</v>
      </c>
      <c r="K14" s="473">
        <f t="shared" si="1"/>
        <v>0</v>
      </c>
      <c r="L14" s="473">
        <f t="shared" ca="1" si="1"/>
        <v>0</v>
      </c>
      <c r="M14" s="473">
        <f t="shared" si="1"/>
        <v>7968.0841091773045</v>
      </c>
      <c r="N14" s="473">
        <f t="shared" ca="1" si="1"/>
        <v>33918.222427287561</v>
      </c>
      <c r="O14" s="473">
        <f t="shared" si="1"/>
        <v>170.40333333333334</v>
      </c>
      <c r="P14" s="474">
        <f t="shared" si="1"/>
        <v>629.20000000000005</v>
      </c>
      <c r="Q14" s="474">
        <f t="shared" ca="1" si="1"/>
        <v>482281.84347164474</v>
      </c>
    </row>
    <row r="16" spans="1:17">
      <c r="A16" s="476" t="s">
        <v>569</v>
      </c>
      <c r="B16" s="829">
        <f ca="1">huishoudens!B10</f>
        <v>0.1637438394426417</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5657.2941799094851</v>
      </c>
      <c r="C21" s="463">
        <f t="shared" ref="C21:C30" ca="1" si="3">C4*$C$16</f>
        <v>0</v>
      </c>
      <c r="D21" s="463">
        <f t="shared" ref="D21:D30" si="4">D4*$D$16</f>
        <v>18446.836309052058</v>
      </c>
      <c r="E21" s="463">
        <f t="shared" ref="E21:E30" si="5">E4*$E$16</f>
        <v>1503.5731378797889</v>
      </c>
      <c r="F21" s="463">
        <f t="shared" ref="F21:F30" si="6">F4*$F$16</f>
        <v>0</v>
      </c>
      <c r="G21" s="463">
        <f t="shared" ref="G21:G30" si="7">G4*$G$16</f>
        <v>0</v>
      </c>
      <c r="H21" s="463">
        <f t="shared" ref="H21:H30" si="8">H4*$H$16</f>
        <v>0</v>
      </c>
      <c r="I21" s="463">
        <f t="shared" ref="I21:I30" si="9">I4*$I$16</f>
        <v>0</v>
      </c>
      <c r="J21" s="463">
        <f t="shared" ref="J21:J30" si="10">J4*$J$16</f>
        <v>541.50799547684096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26149.211622318173</v>
      </c>
    </row>
    <row r="22" spans="1:17">
      <c r="A22" s="462" t="s">
        <v>156</v>
      </c>
      <c r="B22" s="463">
        <f t="shared" ca="1" si="2"/>
        <v>2191.8273317648036</v>
      </c>
      <c r="C22" s="463">
        <f t="shared" ca="1" si="3"/>
        <v>0</v>
      </c>
      <c r="D22" s="463">
        <f t="shared" ca="1" si="4"/>
        <v>4038.8999009429222</v>
      </c>
      <c r="E22" s="463">
        <f t="shared" si="5"/>
        <v>40.791810820897098</v>
      </c>
      <c r="F22" s="463">
        <f t="shared" ca="1" si="6"/>
        <v>714.93342281065259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6986.4524663392758</v>
      </c>
    </row>
    <row r="23" spans="1:17">
      <c r="A23" s="462" t="s">
        <v>194</v>
      </c>
      <c r="B23" s="463">
        <f t="shared" ca="1" si="2"/>
        <v>196.69024614537733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196.69024614537733</v>
      </c>
    </row>
    <row r="24" spans="1:17">
      <c r="A24" s="462" t="s">
        <v>112</v>
      </c>
      <c r="B24" s="463">
        <f t="shared" ca="1" si="2"/>
        <v>839.32232834064564</v>
      </c>
      <c r="C24" s="463">
        <f t="shared" ca="1" si="3"/>
        <v>10266.352941176472</v>
      </c>
      <c r="D24" s="463">
        <f t="shared" si="4"/>
        <v>0</v>
      </c>
      <c r="E24" s="463">
        <f t="shared" si="5"/>
        <v>14.662384730330844</v>
      </c>
      <c r="F24" s="463">
        <f t="shared" si="6"/>
        <v>4721.9969041417999</v>
      </c>
      <c r="G24" s="463">
        <f t="shared" si="7"/>
        <v>0</v>
      </c>
      <c r="H24" s="463">
        <f t="shared" si="8"/>
        <v>0</v>
      </c>
      <c r="I24" s="463">
        <f t="shared" si="9"/>
        <v>0</v>
      </c>
      <c r="J24" s="463">
        <f t="shared" si="10"/>
        <v>272.88651766403262</v>
      </c>
      <c r="K24" s="463">
        <f t="shared" si="11"/>
        <v>0</v>
      </c>
      <c r="L24" s="463">
        <f t="shared" si="12"/>
        <v>0</v>
      </c>
      <c r="M24" s="463">
        <f t="shared" si="13"/>
        <v>0</v>
      </c>
      <c r="N24" s="463">
        <f t="shared" si="14"/>
        <v>0</v>
      </c>
      <c r="O24" s="463">
        <f t="shared" si="15"/>
        <v>0</v>
      </c>
      <c r="P24" s="464">
        <f t="shared" si="16"/>
        <v>0</v>
      </c>
      <c r="Q24" s="462">
        <f t="shared" ca="1" si="17"/>
        <v>16115.22107605328</v>
      </c>
    </row>
    <row r="25" spans="1:17">
      <c r="A25" s="462" t="s">
        <v>657</v>
      </c>
      <c r="B25" s="463">
        <f t="shared" ca="1" si="2"/>
        <v>1205.0140009998941</v>
      </c>
      <c r="C25" s="463">
        <f t="shared" ca="1" si="3"/>
        <v>0</v>
      </c>
      <c r="D25" s="463">
        <f t="shared" si="4"/>
        <v>2009.2071228534705</v>
      </c>
      <c r="E25" s="463">
        <f t="shared" si="5"/>
        <v>246.17572380220273</v>
      </c>
      <c r="F25" s="463">
        <f t="shared" si="6"/>
        <v>1198.7837341120942</v>
      </c>
      <c r="G25" s="463">
        <f t="shared" si="7"/>
        <v>0</v>
      </c>
      <c r="H25" s="463">
        <f t="shared" si="8"/>
        <v>0</v>
      </c>
      <c r="I25" s="463">
        <f t="shared" si="9"/>
        <v>0</v>
      </c>
      <c r="J25" s="463">
        <f t="shared" si="10"/>
        <v>2.1299218737506345</v>
      </c>
      <c r="K25" s="463">
        <f t="shared" si="11"/>
        <v>0</v>
      </c>
      <c r="L25" s="463">
        <f t="shared" si="12"/>
        <v>0</v>
      </c>
      <c r="M25" s="463">
        <f t="shared" si="13"/>
        <v>0</v>
      </c>
      <c r="N25" s="463">
        <f t="shared" si="14"/>
        <v>0</v>
      </c>
      <c r="O25" s="463">
        <f t="shared" si="15"/>
        <v>0</v>
      </c>
      <c r="P25" s="464">
        <f t="shared" si="16"/>
        <v>0</v>
      </c>
      <c r="Q25" s="462">
        <f t="shared" ca="1" si="17"/>
        <v>4661.3105036414117</v>
      </c>
    </row>
    <row r="26" spans="1:17" s="468" customFormat="1">
      <c r="A26" s="466" t="s">
        <v>574</v>
      </c>
      <c r="B26" s="823">
        <f t="shared" ca="1" si="2"/>
        <v>1.3997315433849666</v>
      </c>
      <c r="C26" s="467">
        <f t="shared" ca="1" si="3"/>
        <v>0</v>
      </c>
      <c r="D26" s="467">
        <f t="shared" si="4"/>
        <v>3.1262944919690363</v>
      </c>
      <c r="E26" s="467">
        <f t="shared" si="5"/>
        <v>117.57809934013939</v>
      </c>
      <c r="F26" s="467">
        <f t="shared" si="6"/>
        <v>0</v>
      </c>
      <c r="G26" s="467">
        <f t="shared" si="7"/>
        <v>40700.774465022121</v>
      </c>
      <c r="H26" s="467">
        <f t="shared" si="8"/>
        <v>5858.5686659780158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46681.447256375635</v>
      </c>
    </row>
    <row r="27" spans="1:17">
      <c r="A27" s="462" t="s">
        <v>564</v>
      </c>
      <c r="B27" s="463">
        <f t="shared" ca="1" si="2"/>
        <v>0</v>
      </c>
      <c r="C27" s="463">
        <f t="shared" ca="1" si="3"/>
        <v>0</v>
      </c>
      <c r="D27" s="463">
        <f t="shared" si="4"/>
        <v>0</v>
      </c>
      <c r="E27" s="463">
        <f t="shared" si="5"/>
        <v>0</v>
      </c>
      <c r="F27" s="463">
        <f t="shared" si="6"/>
        <v>0</v>
      </c>
      <c r="G27" s="463">
        <f t="shared" si="7"/>
        <v>505.34941368777152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505.34941368777152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10091.54781870359</v>
      </c>
      <c r="C31" s="473">
        <f t="shared" ca="1" si="18"/>
        <v>10266.352941176472</v>
      </c>
      <c r="D31" s="473">
        <f t="shared" ca="1" si="18"/>
        <v>24498.069627340417</v>
      </c>
      <c r="E31" s="473">
        <f t="shared" si="18"/>
        <v>1922.7811565733591</v>
      </c>
      <c r="F31" s="473">
        <f t="shared" ca="1" si="18"/>
        <v>6635.7140610645465</v>
      </c>
      <c r="G31" s="473">
        <f t="shared" si="18"/>
        <v>41206.123878709892</v>
      </c>
      <c r="H31" s="473">
        <f t="shared" si="18"/>
        <v>5858.5686659780158</v>
      </c>
      <c r="I31" s="473">
        <f t="shared" si="18"/>
        <v>0</v>
      </c>
      <c r="J31" s="473">
        <f t="shared" si="18"/>
        <v>816.52443501462426</v>
      </c>
      <c r="K31" s="473">
        <f t="shared" si="18"/>
        <v>0</v>
      </c>
      <c r="L31" s="473">
        <f t="shared" ca="1" si="18"/>
        <v>0</v>
      </c>
      <c r="M31" s="473">
        <f t="shared" si="18"/>
        <v>0</v>
      </c>
      <c r="N31" s="473">
        <f t="shared" ca="1" si="18"/>
        <v>0</v>
      </c>
      <c r="O31" s="473">
        <f t="shared" si="18"/>
        <v>0</v>
      </c>
      <c r="P31" s="474">
        <f t="shared" si="18"/>
        <v>0</v>
      </c>
      <c r="Q31" s="474">
        <f t="shared" ca="1" si="18"/>
        <v>101295.68258456093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0.1637438394426417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0.1637438394426417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0.1637438394426417</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2018-06-27T09:32:29Z</dcterms:modified>
</cp:coreProperties>
</file>