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20" i="15"/>
  <c r="K36" i="14" s="1"/>
  <c r="B22" i="6"/>
  <c r="C17" i="49" s="1"/>
  <c r="J5" i="48"/>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56" i="22"/>
  <c r="C58" s="1"/>
  <c r="D44" i="14" s="1"/>
  <c r="D46" s="1"/>
  <c r="Q5" i="48"/>
  <c r="O13" i="14"/>
  <c r="O15" s="1"/>
  <c r="F22" i="16"/>
  <c r="G39" i="14" s="1"/>
  <c r="G41" s="1"/>
  <c r="N22" i="16"/>
  <c r="O39" i="14" s="1"/>
  <c r="O41" s="1"/>
  <c r="Q4" i="48"/>
  <c r="N22"/>
  <c r="R11" i="14"/>
  <c r="J21" i="48"/>
  <c r="R10" i="14"/>
  <c r="C20" i="16" l="1"/>
  <c r="C22" s="1"/>
  <c r="D39" i="14" s="1"/>
  <c r="F8" i="48"/>
  <c r="F25" s="1"/>
  <c r="F31" s="1"/>
  <c r="C18" i="15"/>
  <c r="C20" s="1"/>
  <c r="D36" i="14" s="1"/>
  <c r="C17" i="19"/>
  <c r="C19" s="1"/>
  <c r="D35" i="14" s="1"/>
  <c r="C29" i="20"/>
  <c r="K41" i="14"/>
  <c r="K53"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D41" l="1"/>
  <c r="D53" s="1"/>
  <c r="D55" s="1"/>
  <c r="F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<sst xmlns="http://schemas.openxmlformats.org/spreadsheetml/2006/main" count="2069" uniqueCount="884">
  <si>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</si>
  <si>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</si>
  <si>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</si>
  <si>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</si>
  <si>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</si>
  <si>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</si>
  <si>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</si>
  <si>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</si>
  <si>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</si>
  <si>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</si>
  <si>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</si>
  <si>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</si>
  <si>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</si>
  <si>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</si>
  <si>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</si>
  <si>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</si>
  <si>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</si>
  <si>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</si>
  <si>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</si>
  <si>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</si>
  <si>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</si>
  <si>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</si>
  <si>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</si>
  <si>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</si>
  <si>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</si>
  <si>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</si>
  <si>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</si>
  <si>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</si>
  <si>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</si>
  <si>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</si>
  <si>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</si>
  <si>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</si>
  <si>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</si>
  <si>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</si>
  <si>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</si>
  <si>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</si>
  <si>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</si>
  <si>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</si>
  <si>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</si>
  <si>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</si>
  <si>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</si>
  <si>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</si>
  <si>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</si>
  <si>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</si>
  <si>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</si>
  <si>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</si>
  <si>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</si>
  <si>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</si>
  <si>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</si>
  <si>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</si>
  <si>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</si>
  <si>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</si>
  <si>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</si>
  <si>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</si>
  <si>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</si>
  <si>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</si>
  <si>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</si>
  <si>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</si>
  <si>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</si>
  <si>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</si>
  <si>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</si>
  <si>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</si>
  <si>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</si>
  <si>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</si>
  <si>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</si>
  <si>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</si>
  <si>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</si>
  <si>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</si>
  <si>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</si>
  <si>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</si>
  <si>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</si>
  <si>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</si>
  <si>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</si>
  <si>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</si>
  <si>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</si>
  <si>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</si>
  <si>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</si>
  <si>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</si>
  <si>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</si>
  <si>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</si>
  <si>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</si>
  <si>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</si>
  <si>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</si>
  <si>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</si>
  <si>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</si>
  <si>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</si>
  <si>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</si>
  <si>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</si>
  <si>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</si>
  <si>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</si>
  <si>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</si>
  <si>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</si>
  <si>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</si>
  <si>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</si>
  <si>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</si>
  <si>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</si>
  <si>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</si>
  <si>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</si>
  <si>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</si>
  <si>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</si>
  <si>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</si>
  <si>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</si>
  <si>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</si>
  <si>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</si>
  <si>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</si>
  <si>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</si>
  <si>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</si>
  <si>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</si>
  <si>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</si>
  <si>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</si>
  <si>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</si>
  <si>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</si>
  <si>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</si>
  <si>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</si>
  <si>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</si>
  <si>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</si>
  <si>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</si>
  <si>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</si>
  <si>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</si>
  <si>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</si>
  <si>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</si>
  <si>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</si>
  <si>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</si>
  <si>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</si>
  <si>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</si>
  <si>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</si>
  <si>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</si>
  <si>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</si>
  <si>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</si>
  <si>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</si>
  <si>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</si>
  <si>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</si>
  <si>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</si>
  <si>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</si>
  <si>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</si>
  <si>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</si>
  <si>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</si>
  <si>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</si>
  <si>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</si>
  <si>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</si>
  <si>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</si>
  <si>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</si>
  <si>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</si>
  <si>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</si>
  <si>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</si>
  <si>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</si>
  <si>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</si>
  <si>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</si>
  <si>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</si>
  <si>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</si>
  <si>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</si>
  <si>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</si>
  <si>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</si>
  <si>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</si>
  <si>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</si>
  <si>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</si>
  <si>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</si>
  <si>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</si>
  <si>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</si>
  <si>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</si>
  <si>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</si>
  <si>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</si>
  <si>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</si>
  <si>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</si>
  <si>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</si>
  <si>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</si>
  <si>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</si>
  <si>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</si>
  <si>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</si>
  <si>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</si>
  <si>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</si>
  <si>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</si>
  <si>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</si>
  <si>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</si>
  <si>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</si>
  <si>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</si>
  <si>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</si>
  <si>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</si>
  <si>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</si>
  <si>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</si>
  <si>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</si>
  <si>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</si>
  <si>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</si>
  <si>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</si>
  <si>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</si>
  <si>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</si>
  <si>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</si>
  <si>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</si>
  <si>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</si>
  <si>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</si>
  <si>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</si>
  <si>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</si>
  <si>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</si>
  <si>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</si>
  <si>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</si>
  <si>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</si>
  <si>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</si>
  <si>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</si>
  <si>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</si>
  <si>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</si>
  <si>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</si>
  <si>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</si>
  <si>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</si>
  <si>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</si>
  <si>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</si>
  <si>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</si>
  <si>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</si>
  <si>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</si>
  <si>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</si>
  <si>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</si>
  <si>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</si>
  <si>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</si>
  <si>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</si>
  <si>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</si>
  <si>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</si>
  <si>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</si>
  <si>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</si>
  <si>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</si>
  <si>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</si>
  <si>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</si>
  <si>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</si>
  <si>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</si>
  <si>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</si>
  <si>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</si>
  <si>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</si>
  <si>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</si>
  <si>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</si>
  <si>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</si>
  <si>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</si>
  <si>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</si>
  <si>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</si>
  <si>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</si>
  <si>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</si>
  <si>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</si>
  <si>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</si>
  <si>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</si>
  <si>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</si>
  <si>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</si>
  <si>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</si>
  <si>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</si>
  <si>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</si>
  <si>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</si>
  <si>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</si>
  <si>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</si>
  <si>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</si>
  <si>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</si>
  <si>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</si>
  <si>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</si>
  <si>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</si>
  <si>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</si>
  <si>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</si>
  <si>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</si>
  <si>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</si>
  <si>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</si>
  <si>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</si>
  <si>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</si>
  <si>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</si>
  <si>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</si>
  <si>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</si>
  <si>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</si>
  <si>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</si>
  <si>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</si>
  <si>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</si>
  <si>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</si>
  <si>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</si>
  <si>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</si>
  <si>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</si>
  <si>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</si>
  <si>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</si>
  <si>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</si>
  <si>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</si>
  <si>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</si>
  <si>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</si>
  <si>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</si>
  <si>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</si>
  <si>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</si>
  <si>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</si>
  <si>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</si>
  <si>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</si>
  <si>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</si>
  <si>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</si>
  <si>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</si>
  <si>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</si>
  <si>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</si>
  <si>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</si>
  <si>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</si>
  <si>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</si>
  <si>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</si>
  <si>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</si>
  <si>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</si>
  <si>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</si>
  <si>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</si>
  <si>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</si>
  <si>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</si>
  <si>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</si>
  <si>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</si>
  <si>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</si>
  <si>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</si>
  <si>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</si>
  <si>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</si>
  <si>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</si>
  <si>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</si>
  <si>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</si>
  <si>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</si>
  <si>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</si>
  <si>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</si>
  <si>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</si>
  <si>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</si>
  <si>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</si>
  <si>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</si>
  <si>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</si>
  <si>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</si>
  <si>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</si>
  <si>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</si>
  <si>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</si>
  <si>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</si>
  <si>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</si>
  <si>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</si>
  <si>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</si>
  <si>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</si>
  <si>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</si>
  <si>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</si>
  <si>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</si>
  <si>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</si>
  <si>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</si>
  <si>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</si>
  <si>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</si>
  <si>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</si>
  <si>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</si>
  <si>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</si>
  <si>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</si>
  <si>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</si>
  <si>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</si>
  <si>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</si>
  <si>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</si>
  <si>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</si>
  <si>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</si>
  <si>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</si>
  <si>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</si>
  <si>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</si>
  <si>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</si>
  <si>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</si>
  <si>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</si>
  <si>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</si>
  <si>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</si>
  <si>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</si>
  <si>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</si>
  <si>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</si>
  <si>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</si>
  <si>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</si>
  <si>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</si>
  <si>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</si>
  <si>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</si>
  <si>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</si>
  <si>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</si>
  <si>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</si>
  <si>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</si>
  <si>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</si>
  <si>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</si>
  <si>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</si>
  <si>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</si>
  <si>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</si>
  <si>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</si>
  <si>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</si>
  <si>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</si>
  <si>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</si>
  <si>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</si>
  <si>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</si>
  <si>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</si>
  <si>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</si>
  <si>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</si>
  <si>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</si>
  <si>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</si>
  <si>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</si>
  <si>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</si>
  <si>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</si>
  <si>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</si>
  <si>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</si>
  <si>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</si>
  <si>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</si>
  <si>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</si>
  <si>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</si>
  <si>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</si>
  <si>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</si>
  <si>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</si>
  <si>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</si>
  <si>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</si>
  <si>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</si>
  <si>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</si>
  <si>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</si>
  <si>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</si>
  <si>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</si>
  <si>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</si>
  <si>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</si>
  <si>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</si>
  <si>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</si>
  <si>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</si>
  <si>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</si>
  <si>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</si>
  <si>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</si>
  <si>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</si>
  <si>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</si>
  <si>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</si>
  <si>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</si>
  <si>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</si>
  <si>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</si>
  <si>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</si>
  <si>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</si>
  <si>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</si>
  <si>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</si>
  <si>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</si>
  <si>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</si>
  <si>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</si>
  <si>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</si>
  <si>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</si>
  <si>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</si>
  <si>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</si>
  <si>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</si>
  <si>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</si>
  <si>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</si>
  <si>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</si>
  <si>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</si>
  <si>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</si>
  <si>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</si>
  <si>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</si>
  <si>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</si>
  <si>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</si>
  <si>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</si>
  <si>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</si>
  <si>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</si>
  <si>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</si>
  <si>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</si>
  <si>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</si>
  <si>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</si>
  <si>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</si>
  <si>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</si>
  <si>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</si>
  <si>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</si>
  <si>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</si>
  <si>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</si>
  <si>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</si>
  <si>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</si>
  <si>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</si>
  <si>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</si>
  <si>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</si>
  <si>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</si>
  <si>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</si>
  <si>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</si>
  <si>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</si>
  <si>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</si>
  <si>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</si>
  <si>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</si>
  <si>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</si>
  <si>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</si>
  <si>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</si>
  <si>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</si>
  <si>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</si>
  <si>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</si>
  <si>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</si>
  <si>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</si>
  <si>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</si>
  <si>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</si>
  <si>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</si>
  <si>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</si>
  <si>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</si>
  <si>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</si>
  <si>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</si>
  <si>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</si>
  <si>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</si>
  <si>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</si>
  <si>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</si>
  <si>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</si>
  <si>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</si>
  <si>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</si>
  <si>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</si>
  <si>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</si>
  <si>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</si>
  <si>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</si>
  <si>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</si>
  <si>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</si>
  <si>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</si>
  <si>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</si>
  <si>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</si>
  <si>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</si>
  <si>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</si>
  <si>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</si>
  <si>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</si>
  <si>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</si>
  <si>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</si>
  <si>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</si>
  <si>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</si>
  <si>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</si>
  <si>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</si>
  <si>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</si>
  <si>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</si>
  <si>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</si>
  <si>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</si>
  <si>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</si>
  <si>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</si>
  <si>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</si>
  <si>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</si>
  <si>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</si>
  <si>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</si>
  <si>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</si>
  <si>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</si>
  <si>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</si>
  <si>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</si>
  <si>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</si>
  <si>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</si>
  <si>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</si>
  <si>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</si>
  <si>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</si>
  <si>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</si>
  <si>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</si>
  <si>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</si>
  <si>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</si>
  <si>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</si>
  <si>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</si>
  <si>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</si>
  <si>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</si>
  <si>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</si>
  <si>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</si>
  <si>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</si>
  <si>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</si>
  <si>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</si>
  <si>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</si>
  <si>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</si>
  <si>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</si>
  <si>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</si>
  <si>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</si>
  <si>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</si>
  <si>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</si>
  <si>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</si>
  <si>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</si>
  <si>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</si>
  <si>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</si>
  <si>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</si>
  <si>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</si>
  <si>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</si>
  <si>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</si>
  <si>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</si>
  <si>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</si>
  <si>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</si>
  <si>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</si>
  <si>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</si>
  <si>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</si>
  <si>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</si>
  <si>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</si>
  <si>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</si>
  <si>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</si>
  <si>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</si>
  <si>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</si>
  <si>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</si>
  <si>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</si>
  <si>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</si>
  <si>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</si>
  <si>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</si>
  <si>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</si>
  <si>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</si>
  <si>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</si>
  <si>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</si>
  <si>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</si>
  <si>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</si>
  <si>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</si>
  <si>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</si>
  <si>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</si>
  <si>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</si>
  <si>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</si>
  <si>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</si>
  <si>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</si>
  <si>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</si>
  <si>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</si>
  <si>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</si>
  <si>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</si>
  <si>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</si>
  <si>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</si>
  <si>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</si>
  <si>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</si>
  <si>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</si>
  <si>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</si>
  <si>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</si>
  <si>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</si>
  <si>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</si>
  <si>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</si>
  <si>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</si>
  <si>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</si>
  <si>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</si>
  <si>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</si>
  <si>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</si>
  <si>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</si>
  <si>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</si>
  <si>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</si>
  <si>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</si>
  <si>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</si>
  <si>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</si>
  <si>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</si>
  <si>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</si>
  <si>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</si>
  <si>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</si>
  <si>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</si>
  <si>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</si>
  <si>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</si>
  <si>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</si>
  <si>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</si>
  <si>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</si>
  <si>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</si>
  <si>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</si>
  <si>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</si>
  <si>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</si>
  <si>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</si>
  <si>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</si>
  <si>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</si>
  <si>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</si>
  <si>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</si>
  <si>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</si>
  <si>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</si>
  <si>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</si>
  <si>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</si>
  <si>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</si>
  <si>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</si>
  <si>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</si>
  <si>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</si>
  <si>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</si>
  <si>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</si>
  <si>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</si>
  <si>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</si>
  <si>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</si>
  <si>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</si>
  <si>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</si>
  <si>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</si>
  <si>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</si>
  <si>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</si>
  <si>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</si>
  <si>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</si>
  <si>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</si>
  <si>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</si>
  <si>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</si>
  <si>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</si>
  <si>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</si>
  <si>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</si>
  <si>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</si>
  <si>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</si>
  <si>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</si>
  <si>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</si>
  <si>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</si>
  <si>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</si>
  <si>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</si>
  <si>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</si>
  <si>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</si>
  <si>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</si>
  <si>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</si>
  <si>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</si>
  <si>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</si>
  <si>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</si>
  <si>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</si>
  <si>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</si>
  <si>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</si>
  <si>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</si>
  <si>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</si>
  <si>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</si>
  <si>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</si>
  <si>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</si>
  <si>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</si>
  <si>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</si>
  <si>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</si>
  <si>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</si>
  <si>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</si>
  <si>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</si>
  <si>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</si>
  <si>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</si>
  <si>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</si>
  <si>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</si>
  <si>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</si>
  <si>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</si>
  <si>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</si>
  <si>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</si>
  <si>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</si>
  <si>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</si>
  <si>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</si>
  <si>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</si>
  <si>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</si>
  <si>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</si>
  <si>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</si>
  <si>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</si>
  <si>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</si>
  <si>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</si>
  <si>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</si>
  <si>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</si>
  <si>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</si>
  <si>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</si>
  <si>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</si>
  <si>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</si>
  <si>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</si>
  <si>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</si>
  <si>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</si>
  <si>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</si>
  <si>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</si>
  <si>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</si>
  <si>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</si>
  <si>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</si>
  <si>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</si>
  <si>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</si>
  <si>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</si>
  <si>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</si>
  <si>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</si>
  <si>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</si>
  <si>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</si>
  <si>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</si>
  <si>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</si>
  <si>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</si>
  <si>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</si>
  <si>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</si>
  <si>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</si>
  <si>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</si>
  <si>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</si>
  <si>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</si>
  <si>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</si>
  <si>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</si>
  <si>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</si>
  <si>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</si>
  <si>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</si>
  <si>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</si>
  <si>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</si>
  <si>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</si>
  <si>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</si>
  <si>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</si>
  <si>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</si>
  <si>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</si>
  <si>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</si>
  <si>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</si>
  <si>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</si>
  <si>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</si>
  <si>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</si>
  <si>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</si>
  <si>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</si>
  <si>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</si>
  <si>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</si>
  <si>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</si>
  <si>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</si>
  <si>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</si>
  <si>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</si>
  <si>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</si>
  <si>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</si>
  <si>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</si>
  <si>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</si>
  <si>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</si>
  <si>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</si>
  <si>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</si>
  <si>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</si>
  <si>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</si>
  <si>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</si>
  <si>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</si>
  <si>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</si>
  <si>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</si>
  <si>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</si>
  <si>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</si>
  <si>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</si>
  <si>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</si>
  <si>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</si>
  <si>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</si>
  <si>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</si>
  <si>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</si>
  <si>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</si>
  <si>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</si>
  <si>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</si>
  <si>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</si>
  <si>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</si>
  <si>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</si>
  <si>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</si>
  <si>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</si>
  <si>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</si>
  <si>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</si>
  <si>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</si>
  <si>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</si>
  <si>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</si>
  <si>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</si>
  <si>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</si>
  <si>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</si>
  <si>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</si>
  <si>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</si>
  <si>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</si>
  <si>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</si>
  <si>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</si>
  <si>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</si>
  <si>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</si>
  <si>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</si>
  <si>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</si>
  <si>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</si>
  <si>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</si>
  <si>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</si>
  <si>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</si>
  <si>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</si>
  <si>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</si>
  <si>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</si>
  <si>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</si>
  <si>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</si>
  <si>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</si>
  <si>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</si>
  <si>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</si>
  <si>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</si>
  <si>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</si>
  <si>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</si>
  <si>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</si>
  <si>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</si>
  <si>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</si>
  <si>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</si>
  <si>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</si>
  <si>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</si>
  <si>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</si>
  <si>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</si>
  <si>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</si>
  <si>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</si>
  <si>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</si>
  <si>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</si>
  <si>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</si>
  <si>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</si>
  <si>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</si>
  <si>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</si>
  <si>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</si>
  <si>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</si>
  <si>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</si>
  <si>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</si>
  <si>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</si>
  <si>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</si>
  <si>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</si>
  <si>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</si>
  <si>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</si>
  <si>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</si>
  <si>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</si>
  <si>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</si>
  <si>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</si>
  <si>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</si>
  <si>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</si>
  <si>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46003</t>
  </si>
  <si>
    <t>BEVEREN</t>
  </si>
  <si>
    <t>Cultuurgrond (ha)</t>
  </si>
  <si>
    <t>Paarden&amp;pony's 200 - 600 kg</t>
  </si>
  <si>
    <t>Paarden&amp;pony's &lt; 200 kg</t>
  </si>
  <si>
    <t>op basis van VEA (maart 2018) en Inventaris Hernieuwbare Energiebronnen (juni 2018)</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</si>
  <si>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</si>
  <si>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</si>
  <si>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</si>
  <si>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</si>
  <si>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</si>
  <si>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</si>
  <si>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</si>
  <si>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</si>
  <si>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</si>
  <si>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</si>
  <si>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</si>
  <si>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</si>
  <si>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</si>
  <si>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Groeikracht Vrasene NV</t>
  </si>
  <si>
    <t>Laarstraat 1 , 9120 Vrasene</t>
  </si>
  <si>
    <t>WKK-0306 Groeikracht Vrasene</t>
  </si>
  <si>
    <t>Laarstraat 1 , 9120 Beveren-Waas</t>
  </si>
  <si>
    <t>Van der Valk Hotel Beveren nv</t>
  </si>
  <si>
    <t>Gentseweg 280 , 9120 Beveren-Waas</t>
  </si>
  <si>
    <t>WKK-0261 Van Der Valk Hotel Beveren</t>
  </si>
  <si>
    <t>Biogas Boeye BVBA</t>
  </si>
  <si>
    <t>Perstraat 127 , 9120 Beveren-Waas</t>
  </si>
  <si>
    <t>WKK-0208 Biogas Boeye</t>
  </si>
  <si>
    <t>Tomaline BVBA</t>
  </si>
  <si>
    <t>Veldstraat 1A , 9120 Melsele</t>
  </si>
  <si>
    <t>WKK-0200 Tomaline</t>
  </si>
  <si>
    <t>Op de Beeck nv</t>
  </si>
  <si>
    <t>Molenweg Kaai 1936 , 9120 Kallo (Beveren-Waas)</t>
  </si>
  <si>
    <t>WKK-0433 Op De Beeck</t>
  </si>
  <si>
    <t>Apers-Mertens Koen &amp; Lieve FV</t>
  </si>
  <si>
    <t>Botermelkstraat 6 , 9120 Haasdonk</t>
  </si>
  <si>
    <t>WKK-0570 Apers-Mertens</t>
  </si>
  <si>
    <t>S&amp;R Beveren NV</t>
  </si>
  <si>
    <t>Pastoor Steenssensstraat 329 , 9120 Beveren-Waas</t>
  </si>
  <si>
    <t>WKK-0586 S&amp;R Beveren</t>
  </si>
  <si>
    <t>Meerminnendam 29 , 9120 Beveren-Waas</t>
  </si>
  <si>
    <t>Van Remoortel Aardappelverwerking nv</t>
  </si>
  <si>
    <t>Aven Ackers 15 b, 9130 Verrebroek</t>
  </si>
  <si>
    <t>BGS-0180 Van Remoortel</t>
  </si>
  <si>
    <t>biogas - overig</t>
  </si>
  <si>
    <t>niet WKK interne verbrandingsmotor (gas)</t>
  </si>
  <si>
    <t>Intergem</t>
  </si>
  <si>
    <t>Van Remoortel nv</t>
  </si>
  <si>
    <t>BGS-0019 Van Remoortel (GSC rest)</t>
  </si>
  <si>
    <t>Verheyenplein 8, 9130 Verrebroek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</si>
</sst>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373059.38141475408</c:v>
                </c:pt>
                <c:pt idx="1">
                  <c:v>250029.09856806224</c:v>
                </c:pt>
                <c:pt idx="2">
                  <c:v>3147.1840000000002</c:v>
                </c:pt>
                <c:pt idx="3">
                  <c:v>152361.43938816365</c:v>
                </c:pt>
                <c:pt idx="4">
                  <c:v>167043.99797383274</c:v>
                </c:pt>
                <c:pt idx="5">
                  <c:v>634206.11793640186</c:v>
                </c:pt>
                <c:pt idx="6">
                  <c:v>4043.2271449432651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08160"/>
        <c:axId val="182109696"/>
      </c:barChart>
      <c:catAx>
        <c:axId val="182108160"/>
        <c:scaling>
          <c:orientation val="minMax"/>
        </c:scaling>
        <c:axPos val="b"/>
        <c:numFmt formatCode="General" sourceLinked="0"/>
        <c:tickLblPos val="nextTo"/>
        <c:crossAx val="182109696"/>
        <c:crosses val="autoZero"/>
        <c:auto val="1"/>
        <c:lblAlgn val="ctr"/>
        <c:lblOffset val="100"/>
      </c:catAx>
      <c:valAx>
        <c:axId val="182109696"/>
        <c:scaling>
          <c:orientation val="minMax"/>
        </c:scaling>
        <c:axPos val="l"/>
        <c:majorGridlines/>
        <c:numFmt formatCode="#,##0" sourceLinked="1"/>
        <c:tickLblPos val="nextTo"/>
        <c:crossAx val="1821081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373059.38141475408</c:v>
                </c:pt>
                <c:pt idx="1">
                  <c:v>250029.09856806224</c:v>
                </c:pt>
                <c:pt idx="2">
                  <c:v>3147.1840000000002</c:v>
                </c:pt>
                <c:pt idx="3">
                  <c:v>152361.43938816365</c:v>
                </c:pt>
                <c:pt idx="4">
                  <c:v>167043.99797383274</c:v>
                </c:pt>
                <c:pt idx="5">
                  <c:v>634206.11793640186</c:v>
                </c:pt>
                <c:pt idx="6">
                  <c:v>4043.2271449432651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64207.886746758631</c:v>
                </c:pt>
                <c:pt idx="1">
                  <c:v>44621.092709741606</c:v>
                </c:pt>
                <c:pt idx="2">
                  <c:v>505.06231327494737</c:v>
                </c:pt>
                <c:pt idx="3">
                  <c:v>28754.462900978822</c:v>
                </c:pt>
                <c:pt idx="4">
                  <c:v>30679.376876977647</c:v>
                </c:pt>
                <c:pt idx="5">
                  <c:v>160855.18997145913</c:v>
                </c:pt>
                <c:pt idx="6">
                  <c:v>1033.5759951548603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22144"/>
        <c:axId val="182432128"/>
      </c:barChart>
      <c:catAx>
        <c:axId val="182422144"/>
        <c:scaling>
          <c:orientation val="minMax"/>
        </c:scaling>
        <c:axPos val="b"/>
        <c:numFmt formatCode="General" sourceLinked="0"/>
        <c:tickLblPos val="nextTo"/>
        <c:crossAx val="182432128"/>
        <c:crosses val="autoZero"/>
        <c:auto val="1"/>
        <c:lblAlgn val="ctr"/>
        <c:lblOffset val="100"/>
      </c:catAx>
      <c:valAx>
        <c:axId val="182432128"/>
        <c:scaling>
          <c:orientation val="minMax"/>
        </c:scaling>
        <c:axPos val="l"/>
        <c:majorGridlines/>
        <c:numFmt formatCode="#,##0" sourceLinked="1"/>
        <c:tickLblPos val="nextTo"/>
        <c:crossAx val="182422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64207.886746758631</c:v>
                </c:pt>
                <c:pt idx="1">
                  <c:v>44621.092709741606</c:v>
                </c:pt>
                <c:pt idx="2">
                  <c:v>505.06231327494737</c:v>
                </c:pt>
                <c:pt idx="3">
                  <c:v>28754.462900978822</c:v>
                </c:pt>
                <c:pt idx="4">
                  <c:v>30679.376876977647</c:v>
                </c:pt>
                <c:pt idx="5">
                  <c:v>160855.18997145913</c:v>
                </c:pt>
                <c:pt idx="6">
                  <c:v>1033.5759951548603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46003</v>
      </c>
      <c r="B6" s="398"/>
      <c r="C6" s="399"/>
    </row>
    <row r="7" spans="1:7" s="396" customFormat="1" ht="15.75" customHeight="1">
      <c r="A7" s="400" t="str">
        <f>txtMunicipality</f>
        <v>BEVEREN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46003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19395</v>
      </c>
      <c r="C9" s="338">
        <v>20115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7092</v>
      </c>
    </row>
    <row r="15" spans="1:6">
      <c r="A15" s="1212" t="s">
        <v>184</v>
      </c>
      <c r="B15" s="335">
        <v>33</v>
      </c>
    </row>
    <row r="16" spans="1:6">
      <c r="A16" s="1212" t="s">
        <v>6</v>
      </c>
      <c r="B16" s="335">
        <v>1626</v>
      </c>
    </row>
    <row r="17" spans="1:6">
      <c r="A17" s="1212" t="s">
        <v>7</v>
      </c>
      <c r="B17" s="335">
        <v>2197</v>
      </c>
    </row>
    <row r="18" spans="1:6">
      <c r="A18" s="1212" t="s">
        <v>8</v>
      </c>
      <c r="B18" s="335">
        <v>3098</v>
      </c>
    </row>
    <row r="19" spans="1:6">
      <c r="A19" s="1212" t="s">
        <v>9</v>
      </c>
      <c r="B19" s="335">
        <v>3037</v>
      </c>
    </row>
    <row r="20" spans="1:6">
      <c r="A20" s="1212" t="s">
        <v>10</v>
      </c>
      <c r="B20" s="335">
        <v>1852</v>
      </c>
    </row>
    <row r="21" spans="1:6">
      <c r="A21" s="1212" t="s">
        <v>11</v>
      </c>
      <c r="B21" s="335">
        <v>23121</v>
      </c>
    </row>
    <row r="22" spans="1:6">
      <c r="A22" s="1212" t="s">
        <v>12</v>
      </c>
      <c r="B22" s="335">
        <v>54917</v>
      </c>
    </row>
    <row r="23" spans="1:6">
      <c r="A23" s="1212" t="s">
        <v>13</v>
      </c>
      <c r="B23" s="335">
        <v>1243</v>
      </c>
    </row>
    <row r="24" spans="1:6">
      <c r="A24" s="1212" t="s">
        <v>14</v>
      </c>
      <c r="B24" s="335">
        <v>53</v>
      </c>
    </row>
    <row r="25" spans="1:6">
      <c r="A25" s="1212" t="s">
        <v>15</v>
      </c>
      <c r="B25" s="335">
        <v>6652</v>
      </c>
    </row>
    <row r="26" spans="1:6">
      <c r="A26" s="1212" t="s">
        <v>16</v>
      </c>
      <c r="B26" s="335">
        <v>134</v>
      </c>
    </row>
    <row r="27" spans="1:6">
      <c r="A27" s="1212" t="s">
        <v>17</v>
      </c>
      <c r="B27" s="335">
        <v>0</v>
      </c>
    </row>
    <row r="28" spans="1:6" s="341" customFormat="1">
      <c r="A28" s="1213" t="s">
        <v>18</v>
      </c>
      <c r="B28" s="1213">
        <v>543015</v>
      </c>
    </row>
    <row r="29" spans="1:6">
      <c r="A29" s="1213" t="s">
        <v>836</v>
      </c>
      <c r="B29" s="1213">
        <v>315</v>
      </c>
      <c r="C29" s="341"/>
      <c r="D29" s="341"/>
      <c r="E29" s="341"/>
      <c r="F29" s="341"/>
    </row>
    <row r="30" spans="1:6">
      <c r="A30" s="1208" t="s">
        <v>837</v>
      </c>
      <c r="B30" s="1208">
        <v>83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7</v>
      </c>
      <c r="F35" s="335">
        <v>208774.32505709201</v>
      </c>
    </row>
    <row r="36" spans="1:6">
      <c r="A36" s="1212" t="s">
        <v>25</v>
      </c>
      <c r="B36" s="1212" t="s">
        <v>27</v>
      </c>
      <c r="C36" s="335">
        <v>0</v>
      </c>
      <c r="D36" s="335">
        <v>0</v>
      </c>
      <c r="E36" s="335">
        <v>49</v>
      </c>
      <c r="F36" s="335">
        <v>2655145.4478769102</v>
      </c>
    </row>
    <row r="37" spans="1:6">
      <c r="A37" s="1212" t="s">
        <v>25</v>
      </c>
      <c r="B37" s="1212" t="s">
        <v>28</v>
      </c>
      <c r="C37" s="335">
        <v>0</v>
      </c>
      <c r="D37" s="335">
        <v>0</v>
      </c>
      <c r="E37" s="335">
        <v>0</v>
      </c>
      <c r="F37" s="335">
        <v>0</v>
      </c>
    </row>
    <row r="38" spans="1:6">
      <c r="A38" s="1212" t="s">
        <v>25</v>
      </c>
      <c r="B38" s="1212" t="s">
        <v>29</v>
      </c>
      <c r="C38" s="335">
        <v>7</v>
      </c>
      <c r="D38" s="335">
        <v>19292751.839562699</v>
      </c>
      <c r="E38" s="335">
        <v>2</v>
      </c>
      <c r="F38" s="335">
        <v>11774.380434119999</v>
      </c>
    </row>
    <row r="39" spans="1:6">
      <c r="A39" s="1212" t="s">
        <v>30</v>
      </c>
      <c r="B39" s="1212" t="s">
        <v>31</v>
      </c>
      <c r="C39" s="335">
        <v>14030</v>
      </c>
      <c r="D39" s="335">
        <v>244942568.733852</v>
      </c>
      <c r="E39" s="335">
        <v>19037</v>
      </c>
      <c r="F39" s="335">
        <v>87037577.740567401</v>
      </c>
    </row>
    <row r="40" spans="1:6">
      <c r="A40" s="1212" t="s">
        <v>30</v>
      </c>
      <c r="B40" s="1212" t="s">
        <v>29</v>
      </c>
      <c r="C40" s="335">
        <v>0</v>
      </c>
      <c r="D40" s="335">
        <v>0</v>
      </c>
      <c r="E40" s="335">
        <v>0</v>
      </c>
      <c r="F40" s="335">
        <v>0</v>
      </c>
    </row>
    <row r="41" spans="1:6">
      <c r="A41" s="1212" t="s">
        <v>32</v>
      </c>
      <c r="B41" s="1212" t="s">
        <v>33</v>
      </c>
      <c r="C41" s="335">
        <v>150</v>
      </c>
      <c r="D41" s="335">
        <v>4309799.4762476198</v>
      </c>
      <c r="E41" s="335">
        <v>358</v>
      </c>
      <c r="F41" s="335">
        <v>8490826.3241164107</v>
      </c>
    </row>
    <row r="42" spans="1:6">
      <c r="A42" s="1212" t="s">
        <v>32</v>
      </c>
      <c r="B42" s="1212" t="s">
        <v>34</v>
      </c>
      <c r="C42" s="335">
        <v>0</v>
      </c>
      <c r="D42" s="335">
        <v>0</v>
      </c>
      <c r="E42" s="335">
        <v>6</v>
      </c>
      <c r="F42" s="335">
        <v>18237050.7159793</v>
      </c>
    </row>
    <row r="43" spans="1:6">
      <c r="A43" s="1212" t="s">
        <v>32</v>
      </c>
      <c r="B43" s="1212" t="s">
        <v>35</v>
      </c>
      <c r="C43" s="335">
        <v>0</v>
      </c>
      <c r="D43" s="335">
        <v>0</v>
      </c>
      <c r="E43" s="335">
        <v>0</v>
      </c>
      <c r="F43" s="335">
        <v>0</v>
      </c>
    </row>
    <row r="44" spans="1:6">
      <c r="A44" s="1212" t="s">
        <v>32</v>
      </c>
      <c r="B44" s="1212" t="s">
        <v>36</v>
      </c>
      <c r="C44" s="335">
        <v>0</v>
      </c>
      <c r="D44" s="335">
        <v>0</v>
      </c>
      <c r="E44" s="335">
        <v>34</v>
      </c>
      <c r="F44" s="335">
        <v>799527.38853307196</v>
      </c>
    </row>
    <row r="45" spans="1:6">
      <c r="A45" s="1212" t="s">
        <v>32</v>
      </c>
      <c r="B45" s="1212" t="s">
        <v>37</v>
      </c>
      <c r="C45" s="335">
        <v>3</v>
      </c>
      <c r="D45" s="335">
        <v>74333.520642983596</v>
      </c>
      <c r="E45" s="335">
        <v>3</v>
      </c>
      <c r="F45" s="335">
        <v>50348.121629125002</v>
      </c>
    </row>
    <row r="46" spans="1:6">
      <c r="A46" s="1212" t="s">
        <v>32</v>
      </c>
      <c r="B46" s="1212" t="s">
        <v>38</v>
      </c>
      <c r="C46" s="335">
        <v>0</v>
      </c>
      <c r="D46" s="335">
        <v>0</v>
      </c>
      <c r="E46" s="335">
        <v>0</v>
      </c>
      <c r="F46" s="335">
        <v>0</v>
      </c>
    </row>
    <row r="47" spans="1:6">
      <c r="A47" s="1212" t="s">
        <v>32</v>
      </c>
      <c r="B47" s="1212" t="s">
        <v>39</v>
      </c>
      <c r="C47" s="335">
        <v>4</v>
      </c>
      <c r="D47" s="335">
        <v>175197.30222058299</v>
      </c>
      <c r="E47" s="335">
        <v>13</v>
      </c>
      <c r="F47" s="335">
        <v>289790.95573481801</v>
      </c>
    </row>
    <row r="48" spans="1:6">
      <c r="A48" s="1212" t="s">
        <v>32</v>
      </c>
      <c r="B48" s="1212" t="s">
        <v>29</v>
      </c>
      <c r="C48" s="335">
        <v>53</v>
      </c>
      <c r="D48" s="335">
        <v>28085991.476119999</v>
      </c>
      <c r="E48" s="335">
        <v>66</v>
      </c>
      <c r="F48" s="335">
        <v>64462585.891604699</v>
      </c>
    </row>
    <row r="49" spans="1:6">
      <c r="A49" s="1212" t="s">
        <v>32</v>
      </c>
      <c r="B49" s="1212" t="s">
        <v>40</v>
      </c>
      <c r="C49" s="335">
        <v>3</v>
      </c>
      <c r="D49" s="335">
        <v>70181.386536366001</v>
      </c>
      <c r="E49" s="335">
        <v>12</v>
      </c>
      <c r="F49" s="335">
        <v>64223.911186138699</v>
      </c>
    </row>
    <row r="50" spans="1:6">
      <c r="A50" s="1212" t="s">
        <v>32</v>
      </c>
      <c r="B50" s="1212" t="s">
        <v>41</v>
      </c>
      <c r="C50" s="335">
        <v>28</v>
      </c>
      <c r="D50" s="335">
        <v>1795090.1538903001</v>
      </c>
      <c r="E50" s="335">
        <v>38</v>
      </c>
      <c r="F50" s="335">
        <v>2884010.4419748001</v>
      </c>
    </row>
    <row r="51" spans="1:6">
      <c r="A51" s="1212" t="s">
        <v>42</v>
      </c>
      <c r="B51" s="1212" t="s">
        <v>43</v>
      </c>
      <c r="C51" s="335">
        <v>53</v>
      </c>
      <c r="D51" s="335">
        <v>152763971.42200401</v>
      </c>
      <c r="E51" s="335">
        <v>357</v>
      </c>
      <c r="F51" s="335">
        <v>9475809.9401417207</v>
      </c>
    </row>
    <row r="52" spans="1:6">
      <c r="A52" s="1212" t="s">
        <v>42</v>
      </c>
      <c r="B52" s="1212" t="s">
        <v>29</v>
      </c>
      <c r="C52" s="335">
        <v>9</v>
      </c>
      <c r="D52" s="335">
        <v>157149.22398064501</v>
      </c>
      <c r="E52" s="335">
        <v>9</v>
      </c>
      <c r="F52" s="335">
        <v>175883.45554545001</v>
      </c>
    </row>
    <row r="53" spans="1:6">
      <c r="A53" s="1212" t="s">
        <v>44</v>
      </c>
      <c r="B53" s="1212" t="s">
        <v>45</v>
      </c>
      <c r="C53" s="335">
        <v>364</v>
      </c>
      <c r="D53" s="335">
        <v>7571800.6234187596</v>
      </c>
      <c r="E53" s="335">
        <v>679</v>
      </c>
      <c r="F53" s="335">
        <v>3809811.89370747</v>
      </c>
    </row>
    <row r="54" spans="1:6">
      <c r="A54" s="1212" t="s">
        <v>46</v>
      </c>
      <c r="B54" s="1212" t="s">
        <v>47</v>
      </c>
      <c r="C54" s="335">
        <v>0</v>
      </c>
      <c r="D54" s="335">
        <v>0</v>
      </c>
      <c r="E54" s="335">
        <v>1</v>
      </c>
      <c r="F54" s="335">
        <v>3147184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121</v>
      </c>
      <c r="D57" s="335">
        <v>8650876.0049235709</v>
      </c>
      <c r="E57" s="335">
        <v>202</v>
      </c>
      <c r="F57" s="335">
        <v>8062410.6514619598</v>
      </c>
    </row>
    <row r="58" spans="1:6">
      <c r="A58" s="1212" t="s">
        <v>49</v>
      </c>
      <c r="B58" s="1212" t="s">
        <v>51</v>
      </c>
      <c r="C58" s="335">
        <v>42</v>
      </c>
      <c r="D58" s="335">
        <v>1743534.2649613</v>
      </c>
      <c r="E58" s="335">
        <v>63</v>
      </c>
      <c r="F58" s="335">
        <v>1605250.84572429</v>
      </c>
    </row>
    <row r="59" spans="1:6">
      <c r="A59" s="1212" t="s">
        <v>49</v>
      </c>
      <c r="B59" s="1212" t="s">
        <v>52</v>
      </c>
      <c r="C59" s="335">
        <v>298</v>
      </c>
      <c r="D59" s="335">
        <v>13145776.3626034</v>
      </c>
      <c r="E59" s="335">
        <v>582</v>
      </c>
      <c r="F59" s="335">
        <v>23489926.1362454</v>
      </c>
    </row>
    <row r="60" spans="1:6">
      <c r="A60" s="1212" t="s">
        <v>49</v>
      </c>
      <c r="B60" s="1212" t="s">
        <v>53</v>
      </c>
      <c r="C60" s="335">
        <v>129</v>
      </c>
      <c r="D60" s="335">
        <v>6093037.6621382805</v>
      </c>
      <c r="E60" s="335">
        <v>169</v>
      </c>
      <c r="F60" s="335">
        <v>3931405.02591334</v>
      </c>
    </row>
    <row r="61" spans="1:6">
      <c r="A61" s="1212" t="s">
        <v>49</v>
      </c>
      <c r="B61" s="1212" t="s">
        <v>54</v>
      </c>
      <c r="C61" s="335">
        <v>340</v>
      </c>
      <c r="D61" s="335">
        <v>29942186.730953101</v>
      </c>
      <c r="E61" s="335">
        <v>927</v>
      </c>
      <c r="F61" s="335">
        <v>91732296.796910495</v>
      </c>
    </row>
    <row r="62" spans="1:6">
      <c r="A62" s="1212" t="s">
        <v>49</v>
      </c>
      <c r="B62" s="1212" t="s">
        <v>55</v>
      </c>
      <c r="C62" s="335">
        <v>15</v>
      </c>
      <c r="D62" s="335">
        <v>978861.81384457403</v>
      </c>
      <c r="E62" s="335">
        <v>31</v>
      </c>
      <c r="F62" s="335">
        <v>901132.60970034299</v>
      </c>
    </row>
    <row r="63" spans="1:6">
      <c r="A63" s="1212" t="s">
        <v>49</v>
      </c>
      <c r="B63" s="1212" t="s">
        <v>29</v>
      </c>
      <c r="C63" s="335">
        <v>144</v>
      </c>
      <c r="D63" s="335">
        <v>19209629.608943999</v>
      </c>
      <c r="E63" s="335">
        <v>156</v>
      </c>
      <c r="F63" s="335">
        <v>15454851.667392701</v>
      </c>
    </row>
    <row r="64" spans="1:6">
      <c r="A64" s="1212" t="s">
        <v>56</v>
      </c>
      <c r="B64" s="1212" t="s">
        <v>57</v>
      </c>
      <c r="C64" s="335">
        <v>0</v>
      </c>
      <c r="D64" s="335">
        <v>0</v>
      </c>
      <c r="E64" s="335">
        <v>0</v>
      </c>
      <c r="F64" s="335">
        <v>0</v>
      </c>
    </row>
    <row r="65" spans="1:6">
      <c r="A65" s="1212" t="s">
        <v>56</v>
      </c>
      <c r="B65" s="1212" t="s">
        <v>29</v>
      </c>
      <c r="C65" s="335">
        <v>5</v>
      </c>
      <c r="D65" s="335">
        <v>132559.085506259</v>
      </c>
      <c r="E65" s="335">
        <v>4</v>
      </c>
      <c r="F65" s="335">
        <v>78037.695690121996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6</v>
      </c>
      <c r="D68" s="335">
        <v>329633.28758678399</v>
      </c>
      <c r="E68" s="335">
        <v>41</v>
      </c>
      <c r="F68" s="335">
        <v>1105763.54362285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106899573</v>
      </c>
      <c r="E73" s="335">
        <v>181448941.13965991</v>
      </c>
    </row>
    <row r="74" spans="1:6">
      <c r="A74" s="1212" t="s">
        <v>64</v>
      </c>
      <c r="B74" s="1212" t="s">
        <v>727</v>
      </c>
      <c r="C74" s="1212" t="s">
        <v>728</v>
      </c>
      <c r="D74" s="335">
        <v>18739134.801653858</v>
      </c>
      <c r="E74" s="335">
        <v>31502312.612434216</v>
      </c>
    </row>
    <row r="75" spans="1:6">
      <c r="A75" s="1212" t="s">
        <v>65</v>
      </c>
      <c r="B75" s="1212" t="s">
        <v>725</v>
      </c>
      <c r="C75" s="1212" t="s">
        <v>729</v>
      </c>
      <c r="D75" s="335">
        <v>70979778</v>
      </c>
      <c r="E75" s="335">
        <v>127849365.64532027</v>
      </c>
    </row>
    <row r="76" spans="1:6">
      <c r="A76" s="1212" t="s">
        <v>65</v>
      </c>
      <c r="B76" s="1212" t="s">
        <v>727</v>
      </c>
      <c r="C76" s="1212" t="s">
        <v>730</v>
      </c>
      <c r="D76" s="335">
        <v>12313487.80165386</v>
      </c>
      <c r="E76" s="335">
        <v>21783597.186458554</v>
      </c>
    </row>
    <row r="77" spans="1:6">
      <c r="A77" s="1212" t="s">
        <v>66</v>
      </c>
      <c r="B77" s="1212" t="s">
        <v>725</v>
      </c>
      <c r="C77" s="1212" t="s">
        <v>731</v>
      </c>
      <c r="D77" s="335">
        <v>293656195</v>
      </c>
      <c r="E77" s="335">
        <v>329335509.8866815</v>
      </c>
    </row>
    <row r="78" spans="1:6">
      <c r="A78" s="1208" t="s">
        <v>66</v>
      </c>
      <c r="B78" s="1208" t="s">
        <v>727</v>
      </c>
      <c r="C78" s="1208" t="s">
        <v>732</v>
      </c>
      <c r="D78" s="1208">
        <v>81811008</v>
      </c>
      <c r="E78" s="1208">
        <v>93221529.289531812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1068172.39669228</v>
      </c>
      <c r="C83" s="335">
        <v>1066007.454748821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30914.596488539959</v>
      </c>
    </row>
    <row r="91" spans="1:6">
      <c r="A91" s="1212" t="s">
        <v>68</v>
      </c>
      <c r="B91" s="335">
        <v>10031.970306073879</v>
      </c>
    </row>
    <row r="92" spans="1:6">
      <c r="A92" s="1208" t="s">
        <v>69</v>
      </c>
      <c r="B92" s="338">
        <v>32373.34722875544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9871</v>
      </c>
    </row>
    <row r="98" spans="1:6">
      <c r="A98" s="1212" t="s">
        <v>72</v>
      </c>
      <c r="B98" s="335">
        <v>3</v>
      </c>
    </row>
    <row r="99" spans="1:6">
      <c r="A99" s="1212" t="s">
        <v>73</v>
      </c>
      <c r="B99" s="335">
        <v>133</v>
      </c>
    </row>
    <row r="100" spans="1:6">
      <c r="A100" s="1212" t="s">
        <v>74</v>
      </c>
      <c r="B100" s="335">
        <v>2776</v>
      </c>
    </row>
    <row r="101" spans="1:6">
      <c r="A101" s="1212" t="s">
        <v>75</v>
      </c>
      <c r="B101" s="335">
        <v>316</v>
      </c>
    </row>
    <row r="102" spans="1:6">
      <c r="A102" s="1212" t="s">
        <v>76</v>
      </c>
      <c r="B102" s="335">
        <v>369</v>
      </c>
    </row>
    <row r="103" spans="1:6">
      <c r="A103" s="1212" t="s">
        <v>77</v>
      </c>
      <c r="B103" s="335">
        <v>626</v>
      </c>
    </row>
    <row r="104" spans="1:6">
      <c r="A104" s="1212" t="s">
        <v>78</v>
      </c>
      <c r="B104" s="335">
        <v>3115</v>
      </c>
    </row>
    <row r="105" spans="1:6">
      <c r="A105" s="1208" t="s">
        <v>79</v>
      </c>
      <c r="B105" s="1208">
        <v>19</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110</v>
      </c>
      <c r="C123" s="335">
        <v>111</v>
      </c>
    </row>
    <row r="124" spans="1:6">
      <c r="A124" s="1208" t="s">
        <v>89</v>
      </c>
      <c r="B124" s="335">
        <v>26</v>
      </c>
      <c r="C124" s="335">
        <v>26</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470</v>
      </c>
    </row>
    <row r="130" spans="1:6">
      <c r="A130" s="1212" t="s">
        <v>295</v>
      </c>
      <c r="B130" s="335">
        <v>5</v>
      </c>
    </row>
    <row r="131" spans="1:6">
      <c r="A131" s="1212" t="s">
        <v>296</v>
      </c>
      <c r="B131" s="335">
        <v>2</v>
      </c>
    </row>
    <row r="132" spans="1:6">
      <c r="A132" s="1208" t="s">
        <v>297</v>
      </c>
      <c r="B132" s="338">
        <v>22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356226.06062792317</v>
      </c>
      <c r="C3" s="43" t="s">
        <v>170</v>
      </c>
      <c r="D3" s="43"/>
      <c r="E3" s="156"/>
      <c r="F3" s="43"/>
      <c r="G3" s="43"/>
      <c r="H3" s="43"/>
      <c r="I3" s="43"/>
      <c r="J3" s="43"/>
      <c r="K3" s="96"/>
    </row>
    <row r="4" spans="1:11">
      <c r="A4" s="366" t="s">
        <v>171</v>
      </c>
      <c r="B4" s="49">
        <f>IF(ISERROR('SEAP template'!B69),0,'SEAP template'!B69)</f>
        <v>154681.26402336929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12626.010000000004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0.16048070696690989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18037.157142857148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109439.78571428571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0.16481352759540965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3147.1840000000002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3147.1840000000002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0.16048070696690989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505.06231327494737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87037.577740567402</v>
      </c>
      <c r="C5" s="17">
        <f>IF(ISERROR('Eigen informatie GS &amp; warmtenet'!B57),0,'Eigen informatie GS &amp; warmtenet'!B57)</f>
        <v>0</v>
      </c>
      <c r="D5" s="30">
        <f>(SUM(HH_hh_gas_kWh,HH_rest_gas_kWh)/1000)*0.902</f>
        <v>220938.19699793452</v>
      </c>
      <c r="E5" s="17">
        <f>B46*B57</f>
        <v>4294.102708729878</v>
      </c>
      <c r="F5" s="17">
        <f>B51*B62</f>
        <v>0</v>
      </c>
      <c r="G5" s="18"/>
      <c r="H5" s="17"/>
      <c r="I5" s="17"/>
      <c r="J5" s="17">
        <f>B50*B61+C50*C61</f>
        <v>8547.5139627422395</v>
      </c>
      <c r="K5" s="17"/>
      <c r="L5" s="17"/>
      <c r="M5" s="17"/>
      <c r="N5" s="17">
        <f>B48*B59+C48*C59</f>
        <v>38248.543032039524</v>
      </c>
      <c r="O5" s="17">
        <f>B69*B70*B71</f>
        <v>948.94333333333338</v>
      </c>
      <c r="P5" s="17">
        <f>B77*B78*B79/1000-B77*B78*B79/1000/B80</f>
        <v>3012.5333333333333</v>
      </c>
    </row>
    <row r="6" spans="1:16">
      <c r="A6" s="16" t="s">
        <v>634</v>
      </c>
      <c r="B6" s="831">
        <f>kWh_PV_kleiner_dan_10kW</f>
        <v>10031.970306073879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97069.548046641285</v>
      </c>
      <c r="C8" s="21">
        <f>C5</f>
        <v>0</v>
      </c>
      <c r="D8" s="21">
        <f>D5</f>
        <v>220938.19699793452</v>
      </c>
      <c r="E8" s="21">
        <f>E5</f>
        <v>4294.102708729878</v>
      </c>
      <c r="F8" s="21">
        <f>F5</f>
        <v>0</v>
      </c>
      <c r="G8" s="21"/>
      <c r="H8" s="21"/>
      <c r="I8" s="21"/>
      <c r="J8" s="21">
        <f>J5</f>
        <v>8547.5139627422395</v>
      </c>
      <c r="K8" s="21"/>
      <c r="L8" s="21">
        <f>L5</f>
        <v>0</v>
      </c>
      <c r="M8" s="21">
        <f>M5</f>
        <v>0</v>
      </c>
      <c r="N8" s="21">
        <f>N5</f>
        <v>38248.543032039524</v>
      </c>
      <c r="O8" s="21">
        <f>O5</f>
        <v>948.94333333333338</v>
      </c>
      <c r="P8" s="21">
        <f>P5</f>
        <v>3012.5333333333333</v>
      </c>
    </row>
    <row r="9" spans="1:16">
      <c r="B9" s="19"/>
      <c r="C9" s="19"/>
      <c r="D9" s="261"/>
      <c r="E9" s="19"/>
      <c r="F9" s="19"/>
      <c r="G9" s="19"/>
      <c r="H9" s="19"/>
      <c r="I9" s="19"/>
      <c r="J9" s="19"/>
      <c r="K9" s="19"/>
      <c r="L9" s="19"/>
      <c r="M9" s="19"/>
      <c r="N9" s="19"/>
      <c r="O9" s="19"/>
      <c r="P9" s="19"/>
    </row>
    <row r="10" spans="1:16">
      <c r="A10" s="24" t="s">
        <v>214</v>
      </c>
      <c r="B10" s="25">
        <f ca="1">'EF ele_warmte'!B12</f>
        <v>0.16048070696690989</v>
      </c>
      <c r="C10" s="25">
        <f ca="1">'EF ele_warmte'!B22</f>
        <v>0.16481352759540965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15577.78969548342</v>
      </c>
      <c r="C12" s="23">
        <f ca="1">C10*C8</f>
        <v>0</v>
      </c>
      <c r="D12" s="23">
        <f>D8*D10</f>
        <v>44629.515793582774</v>
      </c>
      <c r="E12" s="23">
        <f>E10*E8</f>
        <v>974.76131488168232</v>
      </c>
      <c r="F12" s="23">
        <f>F10*F8</f>
        <v>0</v>
      </c>
      <c r="G12" s="23"/>
      <c r="H12" s="23"/>
      <c r="I12" s="23"/>
      <c r="J12" s="23">
        <f>J10*J8</f>
        <v>3025.8199428107528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9871</v>
      </c>
      <c r="C18" s="168" t="s">
        <v>111</v>
      </c>
      <c r="D18" s="230"/>
      <c r="E18" s="15"/>
    </row>
    <row r="19" spans="1:7">
      <c r="A19" s="173" t="s">
        <v>72</v>
      </c>
      <c r="B19" s="37">
        <f>aantalw2001_ander</f>
        <v>3</v>
      </c>
      <c r="C19" s="168" t="s">
        <v>111</v>
      </c>
      <c r="D19" s="231"/>
      <c r="E19" s="15"/>
    </row>
    <row r="20" spans="1:7">
      <c r="A20" s="173" t="s">
        <v>73</v>
      </c>
      <c r="B20" s="37">
        <f>aantalw2001_propaan</f>
        <v>133</v>
      </c>
      <c r="C20" s="169">
        <f>IF(ISERROR(B20/SUM($B$20,$B$21,$B$22)*100),0,B20/SUM($B$20,$B$21,$B$22)*100)</f>
        <v>4.1240310077519382</v>
      </c>
      <c r="D20" s="231"/>
      <c r="E20" s="15"/>
    </row>
    <row r="21" spans="1:7">
      <c r="A21" s="173" t="s">
        <v>74</v>
      </c>
      <c r="B21" s="37">
        <f>aantalw2001_elektriciteit</f>
        <v>2776</v>
      </c>
      <c r="C21" s="169">
        <f>IF(ISERROR(B21/SUM($B$20,$B$21,$B$22)*100),0,B21/SUM($B$20,$B$21,$B$22)*100)</f>
        <v>86.077519379844958</v>
      </c>
      <c r="D21" s="231"/>
      <c r="E21" s="15"/>
    </row>
    <row r="22" spans="1:7">
      <c r="A22" s="173" t="s">
        <v>75</v>
      </c>
      <c r="B22" s="37">
        <f>aantalw2001_hout</f>
        <v>316</v>
      </c>
      <c r="C22" s="169">
        <f>IF(ISERROR(B22/SUM($B$20,$B$21,$B$22)*100),0,B22/SUM($B$20,$B$21,$B$22)*100)</f>
        <v>9.7984496124031004</v>
      </c>
      <c r="D22" s="231"/>
      <c r="E22" s="15"/>
    </row>
    <row r="23" spans="1:7">
      <c r="A23" s="173" t="s">
        <v>76</v>
      </c>
      <c r="B23" s="37">
        <f>aantalw2001_niet_gespec</f>
        <v>369</v>
      </c>
      <c r="C23" s="168" t="s">
        <v>111</v>
      </c>
      <c r="D23" s="230"/>
      <c r="E23" s="15"/>
    </row>
    <row r="24" spans="1:7">
      <c r="A24" s="173" t="s">
        <v>77</v>
      </c>
      <c r="B24" s="37">
        <f>aantalw2001_steenkool</f>
        <v>626</v>
      </c>
      <c r="C24" s="168" t="s">
        <v>111</v>
      </c>
      <c r="D24" s="231"/>
      <c r="E24" s="15"/>
    </row>
    <row r="25" spans="1:7">
      <c r="A25" s="173" t="s">
        <v>78</v>
      </c>
      <c r="B25" s="37">
        <f>aantalw2001_stookolie</f>
        <v>3115</v>
      </c>
      <c r="C25" s="168" t="s">
        <v>111</v>
      </c>
      <c r="D25" s="230"/>
      <c r="E25" s="52"/>
    </row>
    <row r="26" spans="1:7">
      <c r="A26" s="173" t="s">
        <v>79</v>
      </c>
      <c r="B26" s="37">
        <f>aantalw2001_WP</f>
        <v>19</v>
      </c>
      <c r="C26" s="168" t="s">
        <v>111</v>
      </c>
      <c r="D26" s="230"/>
      <c r="E26" s="15"/>
    </row>
    <row r="27" spans="1:7" s="15" customFormat="1">
      <c r="A27" s="173"/>
      <c r="B27" s="29"/>
      <c r="C27" s="36"/>
      <c r="D27" s="230"/>
    </row>
    <row r="28" spans="1:7" s="15" customFormat="1">
      <c r="A28" s="232" t="s">
        <v>745</v>
      </c>
      <c r="B28" s="37">
        <f>aantalHuishoudens2011</f>
        <v>19395</v>
      </c>
      <c r="C28" s="36"/>
      <c r="D28" s="230"/>
    </row>
    <row r="29" spans="1:7" s="15" customFormat="1">
      <c r="A29" s="232" t="s">
        <v>746</v>
      </c>
      <c r="B29" s="37">
        <f>SUM(HH_hh_gas_aantal,HH_rest_gas_aantal)</f>
        <v>14030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14030</v>
      </c>
      <c r="C32" s="169">
        <f>IF(ISERROR(B32/SUM($B$32,$B$34,$B$35,$B$36,$B$38,$B$39)*100),0,B32/SUM($B$32,$B$34,$B$35,$B$36,$B$38,$B$39)*100)</f>
        <v>72.932369912148474</v>
      </c>
      <c r="D32" s="235"/>
      <c r="G32" s="15"/>
    </row>
    <row r="33" spans="1:7">
      <c r="A33" s="173" t="s">
        <v>72</v>
      </c>
      <c r="B33" s="34" t="s">
        <v>111</v>
      </c>
      <c r="C33" s="169"/>
      <c r="D33" s="235"/>
      <c r="G33" s="15"/>
    </row>
    <row r="34" spans="1:7">
      <c r="A34" s="173" t="s">
        <v>73</v>
      </c>
      <c r="B34" s="33">
        <f>IF((($B$28-$B$32-$B$39-$B$77-$B$38)*C20/100)&lt;0,0,($B$28-$B$32-$B$39-$B$77-$B$38)*C20/100)</f>
        <v>206.07370542635658</v>
      </c>
      <c r="C34" s="169">
        <f>IF(ISERROR(B34/SUM($B$32,$B$34,$B$35,$B$36,$B$38,$B$39)*100),0,B34/SUM($B$32,$B$34,$B$35,$B$36,$B$38,$B$39)*100)</f>
        <v>1.0712361876922423</v>
      </c>
      <c r="D34" s="235"/>
      <c r="G34" s="15"/>
    </row>
    <row r="35" spans="1:7">
      <c r="A35" s="173" t="s">
        <v>74</v>
      </c>
      <c r="B35" s="33">
        <f>IF((($B$28-$B$32-$B$39-$B$77-$B$38)*C21/100)&lt;0,0,($B$28-$B$32-$B$39-$B$77-$B$38)*C21/100)</f>
        <v>4301.2075658914728</v>
      </c>
      <c r="C35" s="169">
        <f>IF(ISERROR(B35/SUM($B$32,$B$34,$B$35,$B$36,$B$38,$B$39)*100),0,B35/SUM($B$32,$B$34,$B$35,$B$36,$B$38,$B$39)*100)</f>
        <v>22.359035015290711</v>
      </c>
      <c r="D35" s="235"/>
      <c r="G35" s="15"/>
    </row>
    <row r="36" spans="1:7">
      <c r="A36" s="173" t="s">
        <v>75</v>
      </c>
      <c r="B36" s="33">
        <f>IF((($B$28-$B$32-$B$39-$B$77-$B$38)*C22/100)&lt;0,0,($B$28-$B$32-$B$39-$B$77-$B$38)*C22/100)</f>
        <v>489.61872868217046</v>
      </c>
      <c r="C36" s="169">
        <f>IF(ISERROR(B36/SUM($B$32,$B$34,$B$35,$B$36,$B$38,$B$39)*100),0,B36/SUM($B$32,$B$34,$B$35,$B$36,$B$38,$B$39)*100)</f>
        <v>2.545192746697357</v>
      </c>
      <c r="D36" s="235"/>
      <c r="G36" s="15"/>
    </row>
    <row r="37" spans="1:7">
      <c r="A37" s="173" t="s">
        <v>76</v>
      </c>
      <c r="B37" s="34" t="s">
        <v>111</v>
      </c>
      <c r="C37" s="169"/>
      <c r="D37" s="175"/>
      <c r="G37" s="15"/>
    </row>
    <row r="38" spans="1:7">
      <c r="A38" s="173" t="s">
        <v>77</v>
      </c>
      <c r="B38" s="33">
        <f>IF((B24-(B29-B18)*0.1)&lt;0,0,B24-(B29-B18)*0.1)</f>
        <v>210.09999999999997</v>
      </c>
      <c r="C38" s="169">
        <f>IF(ISERROR(B38/SUM($B$32,$B$34,$B$35,$B$36,$B$38,$B$39)*100),0,B38/SUM($B$32,$B$34,$B$35,$B$36,$B$38,$B$39)*100)</f>
        <v>1.0921661381712326</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14030</v>
      </c>
      <c r="C44" s="34" t="s">
        <v>111</v>
      </c>
      <c r="D44" s="176"/>
    </row>
    <row r="45" spans="1:7">
      <c r="A45" s="173" t="s">
        <v>72</v>
      </c>
      <c r="B45" s="33" t="str">
        <f t="shared" si="0"/>
        <v>-</v>
      </c>
      <c r="C45" s="34" t="s">
        <v>111</v>
      </c>
      <c r="D45" s="176"/>
    </row>
    <row r="46" spans="1:7">
      <c r="A46" s="173" t="s">
        <v>73</v>
      </c>
      <c r="B46" s="33">
        <f t="shared" si="0"/>
        <v>206.07370542635658</v>
      </c>
      <c r="C46" s="34" t="s">
        <v>111</v>
      </c>
      <c r="D46" s="176"/>
    </row>
    <row r="47" spans="1:7">
      <c r="A47" s="173" t="s">
        <v>74</v>
      </c>
      <c r="B47" s="33">
        <f t="shared" si="0"/>
        <v>4301.2075658914728</v>
      </c>
      <c r="C47" s="34" t="s">
        <v>111</v>
      </c>
      <c r="D47" s="176"/>
    </row>
    <row r="48" spans="1:7">
      <c r="A48" s="173" t="s">
        <v>75</v>
      </c>
      <c r="B48" s="33">
        <f t="shared" si="0"/>
        <v>489.61872868217046</v>
      </c>
      <c r="C48" s="33">
        <f>B48*10</f>
        <v>4896.1872868217042</v>
      </c>
      <c r="D48" s="236"/>
    </row>
    <row r="49" spans="1:6">
      <c r="A49" s="173" t="s">
        <v>76</v>
      </c>
      <c r="B49" s="33" t="str">
        <f t="shared" si="0"/>
        <v>-</v>
      </c>
      <c r="C49" s="34" t="s">
        <v>111</v>
      </c>
      <c r="D49" s="236"/>
    </row>
    <row r="50" spans="1:6">
      <c r="A50" s="173" t="s">
        <v>77</v>
      </c>
      <c r="B50" s="33">
        <f t="shared" si="0"/>
        <v>210.09999999999997</v>
      </c>
      <c r="C50" s="33">
        <f>B50*2</f>
        <v>420.19999999999993</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607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145177.27373334853</v>
      </c>
      <c r="C5" s="17">
        <f>IF(ISERROR('Eigen informatie GS &amp; warmtenet'!B58),0,'Eigen informatie GS &amp; warmtenet'!B58)</f>
        <v>0</v>
      </c>
      <c r="D5" s="30">
        <f>SUM(D6:D12)</f>
        <v>71947.040008428143</v>
      </c>
      <c r="E5" s="17">
        <f>SUM(E6:E12)</f>
        <v>1143.5142297171608</v>
      </c>
      <c r="F5" s="17">
        <f>SUM(F6:F12)</f>
        <v>25219.174819770797</v>
      </c>
      <c r="G5" s="18"/>
      <c r="H5" s="17"/>
      <c r="I5" s="17"/>
      <c r="J5" s="17">
        <f>SUM(J6:J12)</f>
        <v>0</v>
      </c>
      <c r="K5" s="17"/>
      <c r="L5" s="17"/>
      <c r="M5" s="17"/>
      <c r="N5" s="17">
        <f>SUM(N6:N12)</f>
        <v>6977.324348226166</v>
      </c>
      <c r="O5" s="17">
        <f>B38*B39*B40</f>
        <v>7.8166666666666664</v>
      </c>
      <c r="P5" s="17">
        <f>B46*B47*B48/1000-B46*B47*B48/1000/B49</f>
        <v>38.133333333333333</v>
      </c>
      <c r="R5" s="32"/>
    </row>
    <row r="6" spans="1:18">
      <c r="A6" s="32" t="s">
        <v>54</v>
      </c>
      <c r="B6" s="37">
        <f>B26</f>
        <v>91732.296796910494</v>
      </c>
      <c r="C6" s="33"/>
      <c r="D6" s="37">
        <f>IF(ISERROR(TER_kantoor_gas_kWh/1000),0,TER_kantoor_gas_kWh/1000)*0.902</f>
        <v>27007.852431319698</v>
      </c>
      <c r="E6" s="33">
        <f>$C$26*'E Balans VL '!I12/100/3.6*1000000</f>
        <v>356.39939391478242</v>
      </c>
      <c r="F6" s="33">
        <f>$C$26*('E Balans VL '!L12+'E Balans VL '!N12)/100/3.6*1000000</f>
        <v>13951.64764545708</v>
      </c>
      <c r="G6" s="34"/>
      <c r="H6" s="33"/>
      <c r="I6" s="33"/>
      <c r="J6" s="33">
        <f>$C$26*('E Balans VL '!D12+'E Balans VL '!E12)/100/3.6*1000000</f>
        <v>0</v>
      </c>
      <c r="K6" s="33"/>
      <c r="L6" s="33"/>
      <c r="M6" s="33"/>
      <c r="N6" s="33">
        <f>$C$26*'E Balans VL '!Y12/100/3.6*1000000</f>
        <v>50.555484793622092</v>
      </c>
      <c r="O6" s="33"/>
      <c r="P6" s="33"/>
      <c r="R6" s="32"/>
    </row>
    <row r="7" spans="1:18">
      <c r="A7" s="32" t="s">
        <v>53</v>
      </c>
      <c r="B7" s="37">
        <f t="shared" ref="B7:B12" si="0">B27</f>
        <v>3931.4050259133401</v>
      </c>
      <c r="C7" s="33"/>
      <c r="D7" s="37">
        <f>IF(ISERROR(TER_horeca_gas_kWh/1000),0,TER_horeca_gas_kWh/1000)*0.902</f>
        <v>5495.9199712487289</v>
      </c>
      <c r="E7" s="33">
        <f>$C$27*'E Balans VL '!I9/100/3.6*1000000</f>
        <v>221.45709619325621</v>
      </c>
      <c r="F7" s="33">
        <f>$C$27*('E Balans VL '!L9+'E Balans VL '!N9)/100/3.6*1000000</f>
        <v>1133.5818410593158</v>
      </c>
      <c r="G7" s="34"/>
      <c r="H7" s="33"/>
      <c r="I7" s="33"/>
      <c r="J7" s="33">
        <f>$C$27*('E Balans VL '!D9+'E Balans VL '!E9)/100/3.6*1000000</f>
        <v>0</v>
      </c>
      <c r="K7" s="33"/>
      <c r="L7" s="33"/>
      <c r="M7" s="33"/>
      <c r="N7" s="33">
        <f>$C$27*'E Balans VL '!Y9/100/3.6*1000000</f>
        <v>1.0854404981520094</v>
      </c>
      <c r="O7" s="33"/>
      <c r="P7" s="33"/>
      <c r="R7" s="32"/>
    </row>
    <row r="8" spans="1:18">
      <c r="A8" s="6" t="s">
        <v>52</v>
      </c>
      <c r="B8" s="37">
        <f t="shared" si="0"/>
        <v>23489.926136245398</v>
      </c>
      <c r="C8" s="33"/>
      <c r="D8" s="37">
        <f>IF(ISERROR(TER_handel_gas_kWh/1000),0,TER_handel_gas_kWh/1000)*0.902</f>
        <v>11857.490279068266</v>
      </c>
      <c r="E8" s="33">
        <f>$C$28*'E Balans VL '!I13/100/3.6*1000000</f>
        <v>338.56952901512244</v>
      </c>
      <c r="F8" s="33">
        <f>$C$28*('E Balans VL '!L13+'E Balans VL '!N13)/100/3.6*1000000</f>
        <v>4080.7472133316728</v>
      </c>
      <c r="G8" s="34"/>
      <c r="H8" s="33"/>
      <c r="I8" s="33"/>
      <c r="J8" s="33">
        <f>$C$28*('E Balans VL '!D13+'E Balans VL '!E13)/100/3.6*1000000</f>
        <v>0</v>
      </c>
      <c r="K8" s="33"/>
      <c r="L8" s="33"/>
      <c r="M8" s="33"/>
      <c r="N8" s="33">
        <f>$C$28*'E Balans VL '!Y13/100/3.6*1000000</f>
        <v>70.378433656637128</v>
      </c>
      <c r="O8" s="33"/>
      <c r="P8" s="33"/>
      <c r="R8" s="32"/>
    </row>
    <row r="9" spans="1:18">
      <c r="A9" s="32" t="s">
        <v>51</v>
      </c>
      <c r="B9" s="37">
        <f t="shared" si="0"/>
        <v>1605.25084572429</v>
      </c>
      <c r="C9" s="33"/>
      <c r="D9" s="37">
        <f>IF(ISERROR(TER_gezond_gas_kWh/1000),0,TER_gezond_gas_kWh/1000)*0.902</f>
        <v>1572.6679069950926</v>
      </c>
      <c r="E9" s="33">
        <f>$C$29*'E Balans VL '!I10/100/3.6*1000000</f>
        <v>1.7148239689732228</v>
      </c>
      <c r="F9" s="33">
        <f>$C$29*('E Balans VL '!L10+'E Balans VL '!N10)/100/3.6*1000000</f>
        <v>261.86519834151721</v>
      </c>
      <c r="G9" s="34"/>
      <c r="H9" s="33"/>
      <c r="I9" s="33"/>
      <c r="J9" s="33">
        <f>$C$29*('E Balans VL '!D10+'E Balans VL '!E10)/100/3.6*1000000</f>
        <v>0</v>
      </c>
      <c r="K9" s="33"/>
      <c r="L9" s="33"/>
      <c r="M9" s="33"/>
      <c r="N9" s="33">
        <f>$C$29*'E Balans VL '!Y10/100/3.6*1000000</f>
        <v>16.525141518872235</v>
      </c>
      <c r="O9" s="33"/>
      <c r="P9" s="33"/>
      <c r="R9" s="32"/>
    </row>
    <row r="10" spans="1:18">
      <c r="A10" s="32" t="s">
        <v>50</v>
      </c>
      <c r="B10" s="37">
        <f t="shared" si="0"/>
        <v>8062.4106514619598</v>
      </c>
      <c r="C10" s="33"/>
      <c r="D10" s="37">
        <f>IF(ISERROR(TER_ander_gas_kWh/1000),0,TER_ander_gas_kWh/1000)*0.902</f>
        <v>7803.0901564410615</v>
      </c>
      <c r="E10" s="33">
        <f>$C$30*'E Balans VL '!I14/100/3.6*1000000</f>
        <v>37.07780020237454</v>
      </c>
      <c r="F10" s="33">
        <f>$C$30*('E Balans VL '!L14+'E Balans VL '!N14)/100/3.6*1000000</f>
        <v>2416.5587835321621</v>
      </c>
      <c r="G10" s="34"/>
      <c r="H10" s="33"/>
      <c r="I10" s="33"/>
      <c r="J10" s="33">
        <f>$C$30*('E Balans VL '!D14+'E Balans VL '!E14)/100/3.6*1000000</f>
        <v>0</v>
      </c>
      <c r="K10" s="33"/>
      <c r="L10" s="33"/>
      <c r="M10" s="33"/>
      <c r="N10" s="33">
        <f>$C$30*'E Balans VL '!Y14/100/3.6*1000000</f>
        <v>5611.9700193420849</v>
      </c>
      <c r="O10" s="33"/>
      <c r="P10" s="33"/>
      <c r="R10" s="32"/>
    </row>
    <row r="11" spans="1:18">
      <c r="A11" s="32" t="s">
        <v>55</v>
      </c>
      <c r="B11" s="37">
        <f t="shared" si="0"/>
        <v>901.13260970034298</v>
      </c>
      <c r="C11" s="33"/>
      <c r="D11" s="37">
        <f>IF(ISERROR(TER_onderwijs_gas_kWh/1000),0,TER_onderwijs_gas_kWh/1000)*0.902</f>
        <v>882.93335608780581</v>
      </c>
      <c r="E11" s="33">
        <f>$C$31*'E Balans VL '!I11/100/3.6*1000000</f>
        <v>0.83591900234558714</v>
      </c>
      <c r="F11" s="33">
        <f>$C$31*('E Balans VL '!L11+'E Balans VL '!N11)/100/3.6*1000000</f>
        <v>316.54717474374212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15454.851667392701</v>
      </c>
      <c r="C12" s="33"/>
      <c r="D12" s="37">
        <f>IF(ISERROR(TER_rest_gas_kWh/1000),0,TER_rest_gas_kWh/1000)*0.902</f>
        <v>17327.08590726749</v>
      </c>
      <c r="E12" s="33">
        <f>$C$32*'E Balans VL '!I8/100/3.6*1000000</f>
        <v>187.45966742030637</v>
      </c>
      <c r="F12" s="33">
        <f>$C$32*('E Balans VL '!L8+'E Balans VL '!N8)/100/3.6*1000000</f>
        <v>3058.2269633053043</v>
      </c>
      <c r="G12" s="34"/>
      <c r="H12" s="33"/>
      <c r="I12" s="33"/>
      <c r="J12" s="33">
        <f>$C$32*('E Balans VL '!D8+'E Balans VL '!E8)/100/3.6*1000000</f>
        <v>0</v>
      </c>
      <c r="K12" s="33"/>
      <c r="L12" s="33"/>
      <c r="M12" s="33"/>
      <c r="N12" s="33">
        <f>$C$32*'E Balans VL '!Y8/100/3.6*1000000</f>
        <v>1226.8098284167972</v>
      </c>
      <c r="O12" s="33"/>
      <c r="P12" s="33"/>
      <c r="R12" s="32"/>
    </row>
    <row r="13" spans="1:18">
      <c r="A13" s="16" t="s">
        <v>497</v>
      </c>
      <c r="B13" s="249">
        <f ca="1">'lokale energieproductie'!N90+'lokale energieproductie'!N59</f>
        <v>1122.75</v>
      </c>
      <c r="C13" s="249">
        <f ca="1">'lokale energieproductie'!O90+'lokale energieproductie'!O59</f>
        <v>1603.9285714285716</v>
      </c>
      <c r="D13" s="312">
        <f ca="1">('lokale energieproductie'!P59+'lokale energieproductie'!P90)*(-1)</f>
        <v>-3207.8571428571431</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146300.02373334853</v>
      </c>
      <c r="C16" s="21">
        <f t="shared" ca="1" si="1"/>
        <v>1603.9285714285716</v>
      </c>
      <c r="D16" s="21">
        <f t="shared" ca="1" si="1"/>
        <v>68739.182865570998</v>
      </c>
      <c r="E16" s="21">
        <f t="shared" si="1"/>
        <v>1143.5142297171608</v>
      </c>
      <c r="F16" s="21">
        <f t="shared" ca="1" si="1"/>
        <v>25219.174819770797</v>
      </c>
      <c r="G16" s="21">
        <f t="shared" si="1"/>
        <v>0</v>
      </c>
      <c r="H16" s="21">
        <f t="shared" si="1"/>
        <v>0</v>
      </c>
      <c r="I16" s="21">
        <f t="shared" si="1"/>
        <v>0</v>
      </c>
      <c r="J16" s="21">
        <f t="shared" si="1"/>
        <v>0</v>
      </c>
      <c r="K16" s="21">
        <f t="shared" si="1"/>
        <v>0</v>
      </c>
      <c r="L16" s="21">
        <f t="shared" ca="1" si="1"/>
        <v>0</v>
      </c>
      <c r="M16" s="21">
        <f t="shared" si="1"/>
        <v>0</v>
      </c>
      <c r="N16" s="21">
        <f t="shared" ca="1" si="1"/>
        <v>6977.324348226166</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0.16048070696690989</v>
      </c>
      <c r="C18" s="25">
        <f ca="1">'EF ele_warmte'!B22</f>
        <v>0.16481352759540965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23478.331238003466</v>
      </c>
      <c r="C20" s="23">
        <f t="shared" ref="C20:P20" ca="1" si="2">C16*C18</f>
        <v>264.34912586820889</v>
      </c>
      <c r="D20" s="23">
        <f t="shared" ca="1" si="2"/>
        <v>13885.314938845342</v>
      </c>
      <c r="E20" s="23">
        <f t="shared" si="2"/>
        <v>259.5777301457955</v>
      </c>
      <c r="F20" s="23">
        <f t="shared" ca="1" si="2"/>
        <v>6733.5196768788028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91732.296796910494</v>
      </c>
      <c r="C26" s="39">
        <f>IF(ISERROR(B26*3.6/1000000/'E Balans VL '!Z12*100),0,B26*3.6/1000000/'E Balans VL '!Z12*100)</f>
        <v>1.9484394222393171</v>
      </c>
      <c r="D26" s="239" t="s">
        <v>692</v>
      </c>
      <c r="F26" s="6"/>
    </row>
    <row r="27" spans="1:18">
      <c r="A27" s="233" t="s">
        <v>53</v>
      </c>
      <c r="B27" s="33">
        <f>IF(ISERROR(TER_horeca_ele_kWh/1000),0,TER_horeca_ele_kWh/1000)</f>
        <v>3931.4050259133401</v>
      </c>
      <c r="C27" s="39">
        <f>IF(ISERROR(B27*3.6/1000000/'E Balans VL '!Z9*100),0,B27*3.6/1000000/'E Balans VL '!Z9*100)</f>
        <v>0.30569068332918242</v>
      </c>
      <c r="D27" s="239" t="s">
        <v>692</v>
      </c>
      <c r="F27" s="6"/>
    </row>
    <row r="28" spans="1:18">
      <c r="A28" s="173" t="s">
        <v>52</v>
      </c>
      <c r="B28" s="33">
        <f>IF(ISERROR(TER_handel_ele_kWh/1000),0,TER_handel_ele_kWh/1000)</f>
        <v>23489.926136245398</v>
      </c>
      <c r="C28" s="39">
        <f>IF(ISERROR(B28*3.6/1000000/'E Balans VL '!Z13*100),0,B28*3.6/1000000/'E Balans VL '!Z13*100)</f>
        <v>0.67207443163558567</v>
      </c>
      <c r="D28" s="239" t="s">
        <v>692</v>
      </c>
      <c r="F28" s="6"/>
    </row>
    <row r="29" spans="1:18">
      <c r="A29" s="233" t="s">
        <v>51</v>
      </c>
      <c r="B29" s="33">
        <f>IF(ISERROR(TER_gezond_ele_kWh/1000),0,TER_gezond_ele_kWh/1000)</f>
        <v>1605.25084572429</v>
      </c>
      <c r="C29" s="39">
        <f>IF(ISERROR(B29*3.6/1000000/'E Balans VL '!Z10*100),0,B29*3.6/1000000/'E Balans VL '!Z10*100)</f>
        <v>0.1750096437399585</v>
      </c>
      <c r="D29" s="239" t="s">
        <v>692</v>
      </c>
      <c r="F29" s="6"/>
    </row>
    <row r="30" spans="1:18">
      <c r="A30" s="233" t="s">
        <v>50</v>
      </c>
      <c r="B30" s="33">
        <f>IF(ISERROR(TER_ander_ele_kWh/1000),0,TER_ander_ele_kWh/1000)</f>
        <v>8062.4106514619598</v>
      </c>
      <c r="C30" s="39">
        <f>IF(ISERROR(B30*3.6/1000000/'E Balans VL '!Z14*100),0,B30*3.6/1000000/'E Balans VL '!Z14*100)</f>
        <v>0.58998892232897571</v>
      </c>
      <c r="D30" s="239" t="s">
        <v>692</v>
      </c>
      <c r="F30" s="6"/>
    </row>
    <row r="31" spans="1:18">
      <c r="A31" s="233" t="s">
        <v>55</v>
      </c>
      <c r="B31" s="33">
        <f>IF(ISERROR(TER_onderwijs_ele_kWh/1000),0,TER_onderwijs_ele_kWh/1000)</f>
        <v>901.13260970034298</v>
      </c>
      <c r="C31" s="39">
        <f>IF(ISERROR(B31*3.6/1000000/'E Balans VL '!Z11*100),0,B31*3.6/1000000/'E Balans VL '!Z11*100)</f>
        <v>0.18099315382093775</v>
      </c>
      <c r="D31" s="239" t="s">
        <v>692</v>
      </c>
    </row>
    <row r="32" spans="1:18">
      <c r="A32" s="233" t="s">
        <v>260</v>
      </c>
      <c r="B32" s="33">
        <f>IF(ISERROR(TER_rest_ele_kWh/1000),0,TER_rest_ele_kWh/1000)</f>
        <v>15454.851667392701</v>
      </c>
      <c r="C32" s="39">
        <f>IF(ISERROR(B32*3.6/1000000/'E Balans VL '!Z8*100),0,B32*3.6/1000000/'E Balans VL '!Z8*100)</f>
        <v>0.12594766201631669</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95278.363750758363</v>
      </c>
      <c r="C5" s="17">
        <f>IF(ISERROR('Eigen informatie GS &amp; warmtenet'!B59),0,'Eigen informatie GS &amp; warmtenet'!B59)</f>
        <v>0</v>
      </c>
      <c r="D5" s="30">
        <f>SUM(D6:D15)</f>
        <v>31128.555170723383</v>
      </c>
      <c r="E5" s="17">
        <f>SUM(E6:E15)</f>
        <v>6242.3510918501524</v>
      </c>
      <c r="F5" s="17">
        <f>SUM(F6:F15)</f>
        <v>25702.662249145505</v>
      </c>
      <c r="G5" s="18"/>
      <c r="H5" s="17"/>
      <c r="I5" s="17"/>
      <c r="J5" s="17">
        <f>SUM(J6:J15)</f>
        <v>165.5367236733897</v>
      </c>
      <c r="K5" s="17"/>
      <c r="L5" s="17"/>
      <c r="M5" s="17"/>
      <c r="N5" s="17">
        <f>SUM(N6:N15)</f>
        <v>17354.457559110495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799.52738853307198</v>
      </c>
      <c r="C8" s="33"/>
      <c r="D8" s="37">
        <f>IF( ISERROR(IND_metaal_Gas_kWH/1000),0,IND_metaal_Gas_kWH/1000)*0.902</f>
        <v>0</v>
      </c>
      <c r="E8" s="33">
        <f>C30*'E Balans VL '!I18/100/3.6*1000000</f>
        <v>22.965427656320959</v>
      </c>
      <c r="F8" s="33">
        <f>C30*'E Balans VL '!L18/100/3.6*1000000+C30*'E Balans VL '!N18/100/3.6*1000000</f>
        <v>205.06339803718564</v>
      </c>
      <c r="G8" s="34"/>
      <c r="H8" s="33"/>
      <c r="I8" s="33"/>
      <c r="J8" s="40">
        <f>C30*'E Balans VL '!D18/100/3.6*1000000+C30*'E Balans VL '!E18/100/3.6*1000000</f>
        <v>0</v>
      </c>
      <c r="K8" s="33"/>
      <c r="L8" s="33"/>
      <c r="M8" s="33"/>
      <c r="N8" s="33">
        <f>C30*'E Balans VL '!Y18/100/3.6*1000000</f>
        <v>21.708800665300384</v>
      </c>
      <c r="O8" s="33"/>
      <c r="P8" s="33"/>
      <c r="R8" s="32"/>
    </row>
    <row r="9" spans="1:18">
      <c r="A9" s="6" t="s">
        <v>33</v>
      </c>
      <c r="B9" s="37">
        <f t="shared" si="0"/>
        <v>8490.8263241164113</v>
      </c>
      <c r="C9" s="33"/>
      <c r="D9" s="37">
        <f>IF( ISERROR(IND_andere_gas_kWh/1000),0,IND_andere_gas_kWh/1000)*0.902</f>
        <v>3887.4391275753533</v>
      </c>
      <c r="E9" s="33">
        <f>C31*'E Balans VL '!I19/100/3.6*1000000</f>
        <v>2298.257921648064</v>
      </c>
      <c r="F9" s="33">
        <f>C31*'E Balans VL '!L19/100/3.6*1000000+C31*'E Balans VL '!N19/100/3.6*1000000</f>
        <v>5655.7888489780871</v>
      </c>
      <c r="G9" s="34"/>
      <c r="H9" s="33"/>
      <c r="I9" s="33"/>
      <c r="J9" s="40">
        <f>C31*'E Balans VL '!D19/100/3.6*1000000+C31*'E Balans VL '!E19/100/3.6*1000000</f>
        <v>0</v>
      </c>
      <c r="K9" s="33"/>
      <c r="L9" s="33"/>
      <c r="M9" s="33"/>
      <c r="N9" s="33">
        <f>C31*'E Balans VL '!Y19/100/3.6*1000000</f>
        <v>2772.1137501237868</v>
      </c>
      <c r="O9" s="33"/>
      <c r="P9" s="33"/>
      <c r="R9" s="32"/>
    </row>
    <row r="10" spans="1:18">
      <c r="A10" s="6" t="s">
        <v>41</v>
      </c>
      <c r="B10" s="37">
        <f t="shared" si="0"/>
        <v>2884.0104419748</v>
      </c>
      <c r="C10" s="33"/>
      <c r="D10" s="37">
        <f>IF( ISERROR(IND_voed_gas_kWh/1000),0,IND_voed_gas_kWh/1000)*0.902</f>
        <v>1619.1713188090507</v>
      </c>
      <c r="E10" s="33">
        <f>C32*'E Balans VL '!I20/100/3.6*1000000</f>
        <v>235.22651748904173</v>
      </c>
      <c r="F10" s="33">
        <f>C32*'E Balans VL '!L20/100/3.6*1000000+C32*'E Balans VL '!N20/100/3.6*1000000</f>
        <v>4300.3212293387405</v>
      </c>
      <c r="G10" s="34"/>
      <c r="H10" s="33"/>
      <c r="I10" s="33"/>
      <c r="J10" s="40">
        <f>C32*'E Balans VL '!D20/100/3.6*1000000+C32*'E Balans VL '!E20/100/3.6*1000000</f>
        <v>3.8151957428273639E-2</v>
      </c>
      <c r="K10" s="33"/>
      <c r="L10" s="33"/>
      <c r="M10" s="33"/>
      <c r="N10" s="33">
        <f>C32*'E Balans VL '!Y20/100/3.6*1000000</f>
        <v>847.22050209688234</v>
      </c>
      <c r="O10" s="33"/>
      <c r="P10" s="33"/>
      <c r="R10" s="32"/>
    </row>
    <row r="11" spans="1:18">
      <c r="A11" s="6" t="s">
        <v>40</v>
      </c>
      <c r="B11" s="37">
        <f t="shared" si="0"/>
        <v>64.223911186138693</v>
      </c>
      <c r="C11" s="33"/>
      <c r="D11" s="37">
        <f>IF( ISERROR(IND_textiel_gas_kWh/1000),0,IND_textiel_gas_kWh/1000)*0.902</f>
        <v>63.303610655802139</v>
      </c>
      <c r="E11" s="33">
        <f>C33*'E Balans VL '!I21/100/3.6*1000000</f>
        <v>1.2730493199674361E-2</v>
      </c>
      <c r="F11" s="33">
        <f>C33*'E Balans VL '!L21/100/3.6*1000000+C33*'E Balans VL '!N21/100/3.6*1000000</f>
        <v>2.3654441353816953</v>
      </c>
      <c r="G11" s="34"/>
      <c r="H11" s="33"/>
      <c r="I11" s="33"/>
      <c r="J11" s="40">
        <f>C33*'E Balans VL '!D21/100/3.6*1000000+C33*'E Balans VL '!E21/100/3.6*1000000</f>
        <v>0</v>
      </c>
      <c r="K11" s="33"/>
      <c r="L11" s="33"/>
      <c r="M11" s="33"/>
      <c r="N11" s="33">
        <f>C33*'E Balans VL '!Y21/100/3.6*1000000</f>
        <v>0.29862497421280521</v>
      </c>
      <c r="O11" s="33"/>
      <c r="P11" s="33"/>
      <c r="R11" s="32"/>
    </row>
    <row r="12" spans="1:18">
      <c r="A12" s="6" t="s">
        <v>37</v>
      </c>
      <c r="B12" s="37">
        <f t="shared" si="0"/>
        <v>50.348121629125004</v>
      </c>
      <c r="C12" s="33"/>
      <c r="D12" s="37">
        <f>IF( ISERROR(IND_min_gas_kWh/1000),0,IND_min_gas_kWh/1000)*0.902</f>
        <v>67.048835619971214</v>
      </c>
      <c r="E12" s="33">
        <f>C34*'E Balans VL '!I22/100/3.6*1000000</f>
        <v>0.39220089710214134</v>
      </c>
      <c r="F12" s="33">
        <f>C34*'E Balans VL '!L22/100/3.6*1000000+C34*'E Balans VL '!N22/100/3.6*1000000</f>
        <v>18.988217491934549</v>
      </c>
      <c r="G12" s="34"/>
      <c r="H12" s="33"/>
      <c r="I12" s="33"/>
      <c r="J12" s="40">
        <f>C34*'E Balans VL '!D22/100/3.6*1000000+C34*'E Balans VL '!E22/100/3.6*1000000</f>
        <v>0.27691026687652259</v>
      </c>
      <c r="K12" s="33"/>
      <c r="L12" s="33"/>
      <c r="M12" s="33"/>
      <c r="N12" s="33">
        <f>C34*'E Balans VL '!Y22/100/3.6*1000000</f>
        <v>0</v>
      </c>
      <c r="O12" s="33"/>
      <c r="P12" s="33"/>
      <c r="R12" s="32"/>
    </row>
    <row r="13" spans="1:18">
      <c r="A13" s="6" t="s">
        <v>39</v>
      </c>
      <c r="B13" s="37">
        <f t="shared" si="0"/>
        <v>289.790955734818</v>
      </c>
      <c r="C13" s="33"/>
      <c r="D13" s="37">
        <f>IF( ISERROR(IND_papier_gas_kWh/1000),0,IND_papier_gas_kWh/1000)*0.902</f>
        <v>158.02796660296588</v>
      </c>
      <c r="E13" s="33">
        <f>C35*'E Balans VL '!I23/100/3.6*1000000</f>
        <v>3.0360881960142834</v>
      </c>
      <c r="F13" s="33">
        <f>C35*'E Balans VL '!L23/100/3.6*1000000+C35*'E Balans VL '!N23/100/3.6*1000000</f>
        <v>21.624252481229426</v>
      </c>
      <c r="G13" s="34"/>
      <c r="H13" s="33"/>
      <c r="I13" s="33"/>
      <c r="J13" s="40">
        <f>C35*'E Balans VL '!D23/100/3.6*1000000+C35*'E Balans VL '!E23/100/3.6*1000000</f>
        <v>0</v>
      </c>
      <c r="K13" s="33"/>
      <c r="L13" s="33"/>
      <c r="M13" s="33"/>
      <c r="N13" s="33">
        <f>C35*'E Balans VL '!Y23/100/3.6*1000000</f>
        <v>619.39792042225122</v>
      </c>
      <c r="O13" s="33"/>
      <c r="P13" s="33"/>
      <c r="R13" s="32"/>
    </row>
    <row r="14" spans="1:18">
      <c r="A14" s="6" t="s">
        <v>34</v>
      </c>
      <c r="B14" s="37">
        <f t="shared" si="0"/>
        <v>18237.050715979301</v>
      </c>
      <c r="C14" s="33"/>
      <c r="D14" s="37">
        <f>IF( ISERROR(IND_chemie_gas_kWh/1000),0,IND_chemie_gas_kWh/1000)*0.902</f>
        <v>0</v>
      </c>
      <c r="E14" s="33">
        <f>C36*'E Balans VL '!I24/100/3.6*1000000</f>
        <v>86.21082134522014</v>
      </c>
      <c r="F14" s="33">
        <f>C36*'E Balans VL '!L24/100/3.6*1000000+C36*'E Balans VL '!N24/100/3.6*1000000</f>
        <v>344.67046959343844</v>
      </c>
      <c r="G14" s="34"/>
      <c r="H14" s="33"/>
      <c r="I14" s="33"/>
      <c r="J14" s="40">
        <f>C36*'E Balans VL '!D24/100/3.6*1000000+C36*'E Balans VL '!E24/100/3.6*1000000</f>
        <v>0</v>
      </c>
      <c r="K14" s="33"/>
      <c r="L14" s="33"/>
      <c r="M14" s="33"/>
      <c r="N14" s="33">
        <f>C36*'E Balans VL '!Y24/100/3.6*1000000</f>
        <v>442.73389487321384</v>
      </c>
      <c r="O14" s="33"/>
      <c r="P14" s="33"/>
      <c r="R14" s="32"/>
    </row>
    <row r="15" spans="1:18">
      <c r="A15" s="6" t="s">
        <v>270</v>
      </c>
      <c r="B15" s="37">
        <f t="shared" si="0"/>
        <v>64462.5858916047</v>
      </c>
      <c r="C15" s="33"/>
      <c r="D15" s="37">
        <f>IF( ISERROR(IND_rest_gas_kWh/1000),0,IND_rest_gas_kWh/1000)*0.902</f>
        <v>25333.564311460239</v>
      </c>
      <c r="E15" s="33">
        <f>C37*'E Balans VL '!I15/100/3.6*1000000</f>
        <v>3596.2493841251894</v>
      </c>
      <c r="F15" s="33">
        <f>C37*'E Balans VL '!L15/100/3.6*1000000+C37*'E Balans VL '!N15/100/3.6*1000000</f>
        <v>15153.84038908951</v>
      </c>
      <c r="G15" s="34"/>
      <c r="H15" s="33"/>
      <c r="I15" s="33"/>
      <c r="J15" s="40">
        <f>C37*'E Balans VL '!D15/100/3.6*1000000+C37*'E Balans VL '!E15/100/3.6*1000000</f>
        <v>165.22166144908491</v>
      </c>
      <c r="K15" s="33"/>
      <c r="L15" s="33"/>
      <c r="M15" s="33"/>
      <c r="N15" s="33">
        <f>C37*'E Balans VL '!Y15/100/3.6*1000000</f>
        <v>12650.984065954846</v>
      </c>
      <c r="O15" s="33"/>
      <c r="P15" s="33"/>
      <c r="R15" s="32"/>
    </row>
    <row r="16" spans="1:18">
      <c r="A16" s="16" t="s">
        <v>497</v>
      </c>
      <c r="B16" s="249">
        <f>'lokale energieproductie'!N89+'lokale energieproductie'!N58</f>
        <v>4753.5</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-13581.428571428572</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100031.86375075836</v>
      </c>
      <c r="C18" s="21">
        <f>C5+C16</f>
        <v>0</v>
      </c>
      <c r="D18" s="21">
        <f>MAX((D5+D16),0)</f>
        <v>31128.555170723383</v>
      </c>
      <c r="E18" s="21">
        <f>MAX((E5+E16),0)</f>
        <v>6242.3510918501524</v>
      </c>
      <c r="F18" s="21">
        <f>MAX((F5+F16),0)</f>
        <v>25702.662249145505</v>
      </c>
      <c r="G18" s="21"/>
      <c r="H18" s="21"/>
      <c r="I18" s="21"/>
      <c r="J18" s="21">
        <f>MAX((J5+J16),0)</f>
        <v>165.5367236733897</v>
      </c>
      <c r="K18" s="21"/>
      <c r="L18" s="21">
        <f>MAX((L5+L16),0)</f>
        <v>0</v>
      </c>
      <c r="M18" s="21"/>
      <c r="N18" s="21">
        <f>MAX((N5+N16),0)</f>
        <v>3773.0289876819224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0.16048070696690989</v>
      </c>
      <c r="C20" s="25">
        <f ca="1">'EF ele_warmte'!B22</f>
        <v>0.16481352759540965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16053.184213939308</v>
      </c>
      <c r="C22" s="23">
        <f ca="1">C18*C20</f>
        <v>0</v>
      </c>
      <c r="D22" s="23">
        <f>D18*D20</f>
        <v>6287.9681444861235</v>
      </c>
      <c r="E22" s="23">
        <f>E18*E20</f>
        <v>1417.0136978499847</v>
      </c>
      <c r="F22" s="23">
        <f>F18*F20</f>
        <v>6862.6108205218507</v>
      </c>
      <c r="G22" s="23"/>
      <c r="H22" s="23"/>
      <c r="I22" s="23"/>
      <c r="J22" s="23">
        <f>J18*J20</f>
        <v>58.600000180379951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799.52738853307198</v>
      </c>
      <c r="C30" s="39">
        <f>IF(ISERROR(B30*3.6/1000000/'E Balans VL '!Z18*100),0,B30*3.6/1000000/'E Balans VL '!Z18*100)</f>
        <v>7.8671454055646448E-2</v>
      </c>
      <c r="D30" s="239" t="s">
        <v>692</v>
      </c>
    </row>
    <row r="31" spans="1:18">
      <c r="A31" s="6" t="s">
        <v>33</v>
      </c>
      <c r="B31" s="37">
        <f>IF( ISERROR(IND_ander_ele_kWh/1000),0,IND_ander_ele_kWh/1000)</f>
        <v>8490.8263241164113</v>
      </c>
      <c r="C31" s="39">
        <f>IF(ISERROR(B31*3.6/1000000/'E Balans VL '!Z19*100),0,B31*3.6/1000000/'E Balans VL '!Z19*100)</f>
        <v>0.36976871334983014</v>
      </c>
      <c r="D31" s="239" t="s">
        <v>692</v>
      </c>
    </row>
    <row r="32" spans="1:18">
      <c r="A32" s="173" t="s">
        <v>41</v>
      </c>
      <c r="B32" s="37">
        <f>IF( ISERROR(IND_voed_ele_kWh/1000),0,IND_voed_ele_kWh/1000)</f>
        <v>2884.0104419748</v>
      </c>
      <c r="C32" s="39">
        <f>IF(ISERROR(B32*3.6/1000000/'E Balans VL '!Z20*100),0,B32*3.6/1000000/'E Balans VL '!Z20*100)</f>
        <v>0.54719938940948087</v>
      </c>
      <c r="D32" s="239" t="s">
        <v>692</v>
      </c>
    </row>
    <row r="33" spans="1:5">
      <c r="A33" s="173" t="s">
        <v>40</v>
      </c>
      <c r="B33" s="37">
        <f>IF( ISERROR(IND_textiel_ele_kWh/1000),0,IND_textiel_ele_kWh/1000)</f>
        <v>64.223911186138693</v>
      </c>
      <c r="C33" s="39">
        <f>IF(ISERROR(B33*3.6/1000000/'E Balans VL '!Z21*100),0,B33*3.6/1000000/'E Balans VL '!Z21*100)</f>
        <v>3.6668596328743395E-3</v>
      </c>
      <c r="D33" s="239" t="s">
        <v>692</v>
      </c>
    </row>
    <row r="34" spans="1:5">
      <c r="A34" s="173" t="s">
        <v>37</v>
      </c>
      <c r="B34" s="37">
        <f>IF( ISERROR(IND_min_ele_kWh/1000),0,IND_min_ele_kWh/1000)</f>
        <v>50.348121629125004</v>
      </c>
      <c r="C34" s="39">
        <f>IF(ISERROR(B34*3.6/1000000/'E Balans VL '!Z22*100),0,B34*3.6/1000000/'E Balans VL '!Z22*100)</f>
        <v>7.07945148113363E-3</v>
      </c>
      <c r="D34" s="239" t="s">
        <v>692</v>
      </c>
    </row>
    <row r="35" spans="1:5">
      <c r="A35" s="173" t="s">
        <v>39</v>
      </c>
      <c r="B35" s="37">
        <f>IF( ISERROR(IND_papier_ele_kWh/1000),0,IND_papier_ele_kWh/1000)</f>
        <v>289.790955734818</v>
      </c>
      <c r="C35" s="39">
        <f>IF(ISERROR(B35*3.6/1000000/'E Balans VL '!Z22*100),0,B35*3.6/1000000/'E Balans VL '!Z22*100)</f>
        <v>4.0747518366389582E-2</v>
      </c>
      <c r="D35" s="239" t="s">
        <v>692</v>
      </c>
    </row>
    <row r="36" spans="1:5">
      <c r="A36" s="173" t="s">
        <v>34</v>
      </c>
      <c r="B36" s="37">
        <f>IF( ISERROR(IND_chemie_ele_kWh/1000),0,IND_chemie_ele_kWh/1000)</f>
        <v>18237.050715979301</v>
      </c>
      <c r="C36" s="39">
        <f>IF(ISERROR(B36*3.6/1000000/'E Balans VL '!Z24*100),0,B36*3.6/1000000/'E Balans VL '!Z24*100)</f>
        <v>0.53148154729865826</v>
      </c>
      <c r="D36" s="239" t="s">
        <v>692</v>
      </c>
    </row>
    <row r="37" spans="1:5">
      <c r="A37" s="173" t="s">
        <v>270</v>
      </c>
      <c r="B37" s="37">
        <f>IF( ISERROR(IND_rest_ele_kWh/1000),0,IND_rest_ele_kWh/1000)</f>
        <v>64462.5858916047</v>
      </c>
      <c r="C37" s="39">
        <f>IF(ISERROR(B37*3.6/1000000/'E Balans VL '!Z15*100),0,B37*3.6/1000000/'E Balans VL '!Z15*100)</f>
        <v>0.49676340067080044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9651.6933956871708</v>
      </c>
      <c r="C5" s="17">
        <f>'Eigen informatie GS &amp; warmtenet'!B60</f>
        <v>0</v>
      </c>
      <c r="D5" s="30">
        <f>IF(ISERROR(SUM(LB_lb_gas_kWh,LB_rest_gas_kWh,onbekend_gas_kWh)/1000),0,SUM(LB_lb_gas_kWh,LB_rest_gas_kWh,onbekend_gas_kWh)/1000)*0.902</f>
        <v>144764.61498500186</v>
      </c>
      <c r="E5" s="17">
        <f>B17*'E Balans VL '!I25/3.6*1000000/100</f>
        <v>121.62377069482154</v>
      </c>
      <c r="F5" s="17">
        <f>B17*('E Balans VL '!L25/3.6*1000000+'E Balans VL '!N25/3.6*1000000)/100</f>
        <v>33300.76010879143</v>
      </c>
      <c r="G5" s="18"/>
      <c r="H5" s="17"/>
      <c r="I5" s="17"/>
      <c r="J5" s="17">
        <f>('E Balans VL '!D25+'E Balans VL '!E25)/3.6*1000000*landbouw!B17/100</f>
        <v>1451.5049701330865</v>
      </c>
      <c r="K5" s="17"/>
      <c r="L5" s="17">
        <f>L6*(-1)</f>
        <v>0</v>
      </c>
      <c r="M5" s="17"/>
      <c r="N5" s="17">
        <f>N6*(-1)</f>
        <v>67081.71428571429</v>
      </c>
      <c r="O5" s="17"/>
      <c r="P5" s="17"/>
      <c r="R5" s="32"/>
    </row>
    <row r="6" spans="1:18">
      <c r="A6" s="16" t="s">
        <v>497</v>
      </c>
      <c r="B6" s="17" t="s">
        <v>211</v>
      </c>
      <c r="C6" s="17">
        <f>'lokale energieproductie'!O91+'lokale energieproductie'!O60</f>
        <v>107835.85714285714</v>
      </c>
      <c r="D6" s="312">
        <f>('lokale energieproductie'!P60+'lokale energieproductie'!P91)*(-1)</f>
        <v>-148590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-67081.71428571429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9651.6933956871708</v>
      </c>
      <c r="C8" s="21">
        <f>C5+C6</f>
        <v>107835.85714285714</v>
      </c>
      <c r="D8" s="21">
        <f>MAX((D5+D6),0)</f>
        <v>0</v>
      </c>
      <c r="E8" s="21">
        <f>MAX((E5+E6),0)</f>
        <v>121.62377069482154</v>
      </c>
      <c r="F8" s="21">
        <f>MAX((F5+F6),0)</f>
        <v>33300.76010879143</v>
      </c>
      <c r="G8" s="21"/>
      <c r="H8" s="21"/>
      <c r="I8" s="21"/>
      <c r="J8" s="21">
        <f>MAX((J5+J6),0)</f>
        <v>1451.5049701330865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0.16048070696690989</v>
      </c>
      <c r="C10" s="31">
        <f ca="1">'EF ele_warmte'!B22</f>
        <v>0.16481352759540965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1548.9105795677324</v>
      </c>
      <c r="C12" s="23">
        <f ca="1">C8*C10</f>
        <v>17772.80801698894</v>
      </c>
      <c r="D12" s="23">
        <f>D8*D10</f>
        <v>0</v>
      </c>
      <c r="E12" s="23">
        <f>E8*E10</f>
        <v>27.608595947724492</v>
      </c>
      <c r="F12" s="23">
        <f>F8*F10</f>
        <v>8891.3029490473127</v>
      </c>
      <c r="G12" s="23"/>
      <c r="H12" s="23"/>
      <c r="I12" s="23"/>
      <c r="J12" s="23">
        <f>J8*J10</f>
        <v>513.83275942711259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1.3461070249804283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903.26942086196561</v>
      </c>
      <c r="C26" s="249">
        <f>B26*'GWP N2O_CH4'!B5</f>
        <v>18968.657838101277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510.96296880545287</v>
      </c>
      <c r="C27" s="249">
        <f>B27*'GWP N2O_CH4'!B5</f>
        <v>10730.222344914509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14.261150337365276</v>
      </c>
      <c r="C28" s="249">
        <f>B28*'GWP N2O_CH4'!B4</f>
        <v>4420.9566045832353</v>
      </c>
      <c r="D28" s="50"/>
    </row>
    <row r="29" spans="1:4">
      <c r="A29" s="41" t="s">
        <v>277</v>
      </c>
      <c r="B29" s="249">
        <f>B34*'ha_N2O bodem landbouw'!B4</f>
        <v>42.244378512071833</v>
      </c>
      <c r="C29" s="249">
        <f>B29*'GWP N2O_CH4'!B4</f>
        <v>13095.757338742269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1.0547999196852852E-2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9.2691725356196437E-5</v>
      </c>
      <c r="C5" s="448" t="s">
        <v>211</v>
      </c>
      <c r="D5" s="433">
        <f>SUM(D6:D11)</f>
        <v>1.5032077081697539E-4</v>
      </c>
      <c r="E5" s="433">
        <f>SUM(E6:E11)</f>
        <v>5.301232937952525E-3</v>
      </c>
      <c r="F5" s="446" t="s">
        <v>211</v>
      </c>
      <c r="G5" s="433">
        <f>SUM(G6:G11)</f>
        <v>1.9477932029066478</v>
      </c>
      <c r="H5" s="433">
        <f>SUM(H6:H11)</f>
        <v>0.2320051358029819</v>
      </c>
      <c r="I5" s="448" t="s">
        <v>211</v>
      </c>
      <c r="J5" s="448" t="s">
        <v>211</v>
      </c>
      <c r="K5" s="448" t="s">
        <v>211</v>
      </c>
      <c r="L5" s="448" t="s">
        <v>211</v>
      </c>
      <c r="M5" s="433">
        <f>SUM(M6:M11)</f>
        <v>9.7799440427291426E-2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2.1013698638979534E-5</v>
      </c>
      <c r="C6" s="949"/>
      <c r="D6" s="949">
        <f>vkm_2011_GW_PW*SUMIFS(TableVerdeelsleutelVkm[CNG],TableVerdeelsleutelVkm[Voertuigtype],"Lichte voertuigen")*SUMIFS(TableECFTransport[EnergieConsumptieFactor (PJ per km)],TableECFTransport[Index],CONCATENATE($A6,"_CNG_CNG"))</f>
        <v>2.975950714488662E-5</v>
      </c>
      <c r="E6" s="949">
        <f>vkm_2011_GW_PW*SUMIFS(TableVerdeelsleutelVkm[LPG],TableVerdeelsleutelVkm[Voertuigtype],"Lichte voertuigen")*SUMIFS(TableECFTransport[EnergieConsumptieFactor (PJ per km)],TableECFTransport[Index],CONCATENATE($A6,"_LPG_LPG"))</f>
        <v>9.3464814853691611E-4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0.16798186486435918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4.5138255300037664E-2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9.510364273305049E-3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0.17689271713532739</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6.3024303620261621E-5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7.9824323424543195E-3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1.3952793472371208E-5</v>
      </c>
      <c r="C8" s="949"/>
      <c r="D8" s="436">
        <f>vkm_2011_NGW_PW*SUMIFS(TableVerdeelsleutelVkm[CNG],TableVerdeelsleutelVkm[Voertuigtype],"Lichte voertuigen")*SUMIFS(TableECFTransport[EnergieConsumptieFactor (PJ per km)],TableECFTransport[Index],CONCATENATE($A8,"_CNG_CNG"))</f>
        <v>3.5202571080797797E-5</v>
      </c>
      <c r="E8" s="436">
        <f>vkm_2011_NGW_PW*SUMIFS(TableVerdeelsleutelVkm[LPG],TableVerdeelsleutelVkm[Voertuigtype],"Lichte voertuigen")*SUMIFS(TableECFTransport[EnergieConsumptieFactor (PJ per km)],TableECFTransport[Index],CONCATENATE($A8,"_LPG_LPG"))</f>
        <v>1.0183312287568888E-3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0.1726170180287524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5.1520071851612906E-2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9.9926975892103836E-3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0.14827496344540583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4.9990862542750454E-5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6.6909107039701213E-3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5.7725233244845693E-5</v>
      </c>
      <c r="C10" s="949"/>
      <c r="D10" s="436">
        <f>vkm_2011_SW_PW*SUMIFS(TableVerdeelsleutelVkm[CNG],TableVerdeelsleutelVkm[Voertuigtype],"Lichte voertuigen")*SUMIFS(TableECFTransport[EnergieConsumptieFactor (PJ per km)],TableECFTransport[Index],CONCATENATE($A10,"_CNG_CNG"))</f>
        <v>8.5358692591290978E-5</v>
      </c>
      <c r="E10" s="436">
        <f>vkm_2011_SW_PW*SUMIFS(TableVerdeelsleutelVkm[LPG],TableVerdeelsleutelVkm[Voertuigtype],"Lichte voertuigen")*SUMIFS(TableECFTransport[EnergieConsumptieFactor (PJ per km)],TableECFTransport[Index],CONCATENATE($A10,"_LPG_LPG"))</f>
        <v>3.3482535606587202E-3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0.54499724705314012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0.13495061364208868</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3.0363084097008365E-2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0.73702939237966292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2.8317984307964624E-4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3.3259951421343179E-2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25.747701487832341</v>
      </c>
      <c r="C14" s="21"/>
      <c r="D14" s="21">
        <f t="shared" ref="D14:M14" si="0">((D5)*10^9/3600)+D12</f>
        <v>41.755769671382055</v>
      </c>
      <c r="E14" s="21">
        <f t="shared" si="0"/>
        <v>1472.5647049868126</v>
      </c>
      <c r="F14" s="21"/>
      <c r="G14" s="21">
        <f t="shared" si="0"/>
        <v>541053.66747406882</v>
      </c>
      <c r="H14" s="21">
        <f t="shared" si="0"/>
        <v>64445.871056383861</v>
      </c>
      <c r="I14" s="21"/>
      <c r="J14" s="21"/>
      <c r="K14" s="21"/>
      <c r="L14" s="21"/>
      <c r="M14" s="21">
        <f t="shared" si="0"/>
        <v>27166.511229803175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0.16048070696690989</v>
      </c>
      <c r="C16" s="56">
        <f ca="1">'EF ele_warmte'!B22</f>
        <v>0.16481352759540965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4.1320093375402918</v>
      </c>
      <c r="C18" s="23"/>
      <c r="D18" s="23">
        <f t="shared" ref="D18:M18" si="1">D14*D16</f>
        <v>8.4346654736191748</v>
      </c>
      <c r="E18" s="23">
        <f t="shared" si="1"/>
        <v>334.27218803200645</v>
      </c>
      <c r="F18" s="23"/>
      <c r="G18" s="23">
        <f t="shared" si="1"/>
        <v>144461.32921557638</v>
      </c>
      <c r="H18" s="23">
        <f t="shared" si="1"/>
        <v>16047.021893039582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1.3935856114447554E-2</v>
      </c>
      <c r="H50" s="323">
        <f t="shared" si="2"/>
        <v>0</v>
      </c>
      <c r="I50" s="323">
        <f t="shared" si="2"/>
        <v>0</v>
      </c>
      <c r="J50" s="323">
        <f t="shared" si="2"/>
        <v>0</v>
      </c>
      <c r="K50" s="323">
        <f t="shared" si="2"/>
        <v>0</v>
      </c>
      <c r="L50" s="323">
        <f t="shared" si="2"/>
        <v>0</v>
      </c>
      <c r="M50" s="323">
        <f t="shared" si="2"/>
        <v>6.1976160734819987E-4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1.3935856114447554E-2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6.1976160734819987E-4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3871.0711429020985</v>
      </c>
      <c r="H54" s="21">
        <f t="shared" si="3"/>
        <v>0</v>
      </c>
      <c r="I54" s="21">
        <f t="shared" si="3"/>
        <v>0</v>
      </c>
      <c r="J54" s="21">
        <f t="shared" si="3"/>
        <v>0</v>
      </c>
      <c r="K54" s="21">
        <f t="shared" si="3"/>
        <v>0</v>
      </c>
      <c r="L54" s="21">
        <f t="shared" si="3"/>
        <v>0</v>
      </c>
      <c r="M54" s="21">
        <f t="shared" si="3"/>
        <v>172.15600204116663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0.16048070696690989</v>
      </c>
      <c r="C56" s="56">
        <f ca="1">'EF ele_warmte'!B22</f>
        <v>0.16481352759540965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1033.5759951548603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30914.596488539959</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42405.317534829315</v>
      </c>
      <c r="C6" s="1142"/>
      <c r="D6" s="1145"/>
      <c r="E6" s="1145"/>
      <c r="F6" s="1148"/>
      <c r="G6" s="1151"/>
      <c r="H6" s="1139"/>
      <c r="I6" s="1145"/>
      <c r="J6" s="1145"/>
      <c r="K6" s="1145"/>
      <c r="L6" s="1175"/>
      <c r="M6" s="561"/>
      <c r="N6" s="1187"/>
      <c r="O6" s="1188"/>
      <c r="Q6" s="559"/>
      <c r="R6" s="1172"/>
      <c r="S6" s="1172"/>
    </row>
    <row r="7" spans="1:19" s="549" customFormat="1">
      <c r="A7" s="562" t="s">
        <v>252</v>
      </c>
      <c r="B7" s="563">
        <f>N57</f>
        <v>76607.850000000006</v>
      </c>
      <c r="C7" s="564">
        <f>B100</f>
        <v>62505.000000000015</v>
      </c>
      <c r="D7" s="565"/>
      <c r="E7" s="565">
        <f>E100</f>
        <v>0</v>
      </c>
      <c r="F7" s="566"/>
      <c r="G7" s="567"/>
      <c r="H7" s="565">
        <f>I100</f>
        <v>0</v>
      </c>
      <c r="I7" s="565">
        <f>G100+F100</f>
        <v>0</v>
      </c>
      <c r="J7" s="565">
        <f>H100+D100+C100</f>
        <v>27621.882352941182</v>
      </c>
      <c r="K7" s="565"/>
      <c r="L7" s="568"/>
      <c r="M7" s="569">
        <f>C7*$C$11+D7*$D$11+E7*$E$11+F7*$F$11+G7*$G$11+H7*$H$11+I7*$I$11+J7*$J$11</f>
        <v>12626.010000000004</v>
      </c>
      <c r="N7" s="1187"/>
      <c r="O7" s="1188"/>
      <c r="Q7" s="559"/>
      <c r="R7" s="1172"/>
      <c r="S7" s="1172"/>
    </row>
    <row r="8" spans="1:19" s="549" customFormat="1" ht="17.45" customHeight="1" thickBot="1">
      <c r="A8" s="570" t="s">
        <v>248</v>
      </c>
      <c r="B8" s="571">
        <f>N88+'Eigen informatie GS &amp; warmtenet'!B12</f>
        <v>4753.5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13581.428571428572</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154681.26402336929</v>
      </c>
      <c r="C9" s="580">
        <f t="shared" ref="C9:L9" si="0">SUM(C7:C8)</f>
        <v>62505.000000000015</v>
      </c>
      <c r="D9" s="580">
        <f t="shared" si="0"/>
        <v>0</v>
      </c>
      <c r="E9" s="580">
        <f t="shared" si="0"/>
        <v>0</v>
      </c>
      <c r="F9" s="580">
        <f t="shared" si="0"/>
        <v>0</v>
      </c>
      <c r="G9" s="580">
        <f t="shared" si="0"/>
        <v>0</v>
      </c>
      <c r="H9" s="580">
        <f t="shared" si="0"/>
        <v>0</v>
      </c>
      <c r="I9" s="580">
        <f t="shared" si="0"/>
        <v>0</v>
      </c>
      <c r="J9" s="580">
        <f t="shared" si="0"/>
        <v>41203.310924369755</v>
      </c>
      <c r="K9" s="580">
        <f t="shared" si="0"/>
        <v>0</v>
      </c>
      <c r="L9" s="580">
        <f t="shared" si="0"/>
        <v>0</v>
      </c>
      <c r="M9" s="581">
        <f>SUM(M4:M8)</f>
        <v>12626.010000000004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109439.78571428572</v>
      </c>
      <c r="C16" s="596">
        <f>B101</f>
        <v>89292.857142857159</v>
      </c>
      <c r="D16" s="597"/>
      <c r="E16" s="597">
        <f>E101</f>
        <v>0</v>
      </c>
      <c r="F16" s="598"/>
      <c r="G16" s="599"/>
      <c r="H16" s="596">
        <f>I101</f>
        <v>0</v>
      </c>
      <c r="I16" s="597">
        <f>G101+F101</f>
        <v>0</v>
      </c>
      <c r="J16" s="597">
        <f>H101+D101+C101</f>
        <v>39459.831932773115</v>
      </c>
      <c r="K16" s="597"/>
      <c r="L16" s="600"/>
      <c r="M16" s="601">
        <f>C16*$C$21+E16*$E$21+H16*$H$21+I16*$I$21+J16*$J$21+D16*$D$21+F16*$F$21+G16*$G$21+K16*$K$21+L16*$L$21</f>
        <v>18037.157142857148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109439.78571428572</v>
      </c>
      <c r="C19" s="579">
        <f>SUM(C16:C18)</f>
        <v>89292.857142857159</v>
      </c>
      <c r="D19" s="579">
        <f t="shared" ref="D19:M19" si="1">SUM(D16:D18)</f>
        <v>0</v>
      </c>
      <c r="E19" s="579">
        <f t="shared" si="1"/>
        <v>0</v>
      </c>
      <c r="F19" s="579">
        <f t="shared" si="1"/>
        <v>0</v>
      </c>
      <c r="G19" s="579">
        <f t="shared" si="1"/>
        <v>0</v>
      </c>
      <c r="H19" s="579">
        <f t="shared" si="1"/>
        <v>0</v>
      </c>
      <c r="I19" s="579">
        <f t="shared" si="1"/>
        <v>0</v>
      </c>
      <c r="J19" s="579">
        <f t="shared" si="1"/>
        <v>39459.831932773115</v>
      </c>
      <c r="K19" s="579">
        <f t="shared" si="1"/>
        <v>0</v>
      </c>
      <c r="L19" s="579">
        <f t="shared" si="1"/>
        <v>0</v>
      </c>
      <c r="M19" s="606">
        <f t="shared" si="1"/>
        <v>18037.157142857148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46003</v>
      </c>
      <c r="C27" s="839">
        <v>9120</v>
      </c>
      <c r="D27" s="658" t="s">
        <v>840</v>
      </c>
      <c r="E27" s="657" t="s">
        <v>841</v>
      </c>
      <c r="F27" s="657" t="s">
        <v>842</v>
      </c>
      <c r="G27" s="657" t="s">
        <v>843</v>
      </c>
      <c r="H27" s="657" t="s">
        <v>844</v>
      </c>
      <c r="I27" s="657" t="s">
        <v>841</v>
      </c>
      <c r="J27" s="838">
        <v>39377</v>
      </c>
      <c r="K27" s="838">
        <v>39380</v>
      </c>
      <c r="L27" s="657" t="s">
        <v>845</v>
      </c>
      <c r="M27" s="657">
        <v>1372</v>
      </c>
      <c r="N27" s="657">
        <v>6174.0000000000009</v>
      </c>
      <c r="O27" s="657">
        <v>8820.0000000000018</v>
      </c>
      <c r="P27" s="657">
        <v>17640.000000000004</v>
      </c>
      <c r="Q27" s="657">
        <v>0</v>
      </c>
      <c r="R27" s="657">
        <v>0</v>
      </c>
      <c r="S27" s="657">
        <v>0</v>
      </c>
      <c r="T27" s="657">
        <v>0</v>
      </c>
      <c r="U27" s="657">
        <v>0</v>
      </c>
      <c r="V27" s="657">
        <v>0</v>
      </c>
      <c r="W27" s="657">
        <v>0</v>
      </c>
      <c r="X27" s="657">
        <v>10</v>
      </c>
      <c r="Y27" s="657" t="s">
        <v>112</v>
      </c>
      <c r="Z27" s="659" t="s">
        <v>112</v>
      </c>
    </row>
    <row r="28" spans="1:26" s="611" customFormat="1" ht="25.5">
      <c r="A28" s="610"/>
      <c r="B28" s="839">
        <v>46003</v>
      </c>
      <c r="C28" s="839">
        <v>9120</v>
      </c>
      <c r="D28" s="658" t="s">
        <v>846</v>
      </c>
      <c r="E28" s="657" t="s">
        <v>847</v>
      </c>
      <c r="F28" s="657" t="s">
        <v>848</v>
      </c>
      <c r="G28" s="657" t="s">
        <v>843</v>
      </c>
      <c r="H28" s="657" t="s">
        <v>844</v>
      </c>
      <c r="I28" s="657" t="s">
        <v>847</v>
      </c>
      <c r="J28" s="838">
        <v>39568</v>
      </c>
      <c r="K28" s="838">
        <v>39568</v>
      </c>
      <c r="L28" s="657" t="s">
        <v>845</v>
      </c>
      <c r="M28" s="657">
        <v>2731</v>
      </c>
      <c r="N28" s="657">
        <v>12289.5</v>
      </c>
      <c r="O28" s="657">
        <v>17556.428571428572</v>
      </c>
      <c r="P28" s="657">
        <v>35112.857142857145</v>
      </c>
      <c r="Q28" s="657">
        <v>0</v>
      </c>
      <c r="R28" s="657">
        <v>0</v>
      </c>
      <c r="S28" s="657">
        <v>0</v>
      </c>
      <c r="T28" s="657">
        <v>0</v>
      </c>
      <c r="U28" s="657">
        <v>0</v>
      </c>
      <c r="V28" s="657">
        <v>0</v>
      </c>
      <c r="W28" s="657">
        <v>0</v>
      </c>
      <c r="X28" s="657">
        <v>10</v>
      </c>
      <c r="Y28" s="657" t="s">
        <v>112</v>
      </c>
      <c r="Z28" s="659" t="s">
        <v>112</v>
      </c>
    </row>
    <row r="29" spans="1:26" s="611" customFormat="1" ht="25.5">
      <c r="A29" s="610"/>
      <c r="B29" s="839">
        <v>46003</v>
      </c>
      <c r="C29" s="839">
        <v>9120</v>
      </c>
      <c r="D29" s="658" t="s">
        <v>849</v>
      </c>
      <c r="E29" s="657" t="s">
        <v>850</v>
      </c>
      <c r="F29" s="657" t="s">
        <v>851</v>
      </c>
      <c r="G29" s="657" t="s">
        <v>843</v>
      </c>
      <c r="H29" s="657" t="s">
        <v>844</v>
      </c>
      <c r="I29" s="657" t="s">
        <v>850</v>
      </c>
      <c r="J29" s="838">
        <v>39737</v>
      </c>
      <c r="K29" s="838">
        <v>39737</v>
      </c>
      <c r="L29" s="657" t="s">
        <v>845</v>
      </c>
      <c r="M29" s="657">
        <v>1562</v>
      </c>
      <c r="N29" s="657">
        <v>7029</v>
      </c>
      <c r="O29" s="657">
        <v>10041.428571428572</v>
      </c>
      <c r="P29" s="657">
        <v>20082.857142857145</v>
      </c>
      <c r="Q29" s="657">
        <v>0</v>
      </c>
      <c r="R29" s="657">
        <v>0</v>
      </c>
      <c r="S29" s="657">
        <v>0</v>
      </c>
      <c r="T29" s="657">
        <v>0</v>
      </c>
      <c r="U29" s="657">
        <v>0</v>
      </c>
      <c r="V29" s="657">
        <v>0</v>
      </c>
      <c r="W29" s="657">
        <v>0</v>
      </c>
      <c r="X29" s="657">
        <v>10</v>
      </c>
      <c r="Y29" s="657" t="s">
        <v>112</v>
      </c>
      <c r="Z29" s="659" t="s">
        <v>112</v>
      </c>
    </row>
    <row r="30" spans="1:26" s="611" customFormat="1" ht="25.5">
      <c r="A30" s="610"/>
      <c r="B30" s="839">
        <v>46003</v>
      </c>
      <c r="C30" s="839">
        <v>9120</v>
      </c>
      <c r="D30" s="658" t="s">
        <v>852</v>
      </c>
      <c r="E30" s="657" t="s">
        <v>853</v>
      </c>
      <c r="F30" s="657" t="s">
        <v>854</v>
      </c>
      <c r="G30" s="657" t="s">
        <v>843</v>
      </c>
      <c r="H30" s="657" t="s">
        <v>844</v>
      </c>
      <c r="I30" s="657" t="s">
        <v>855</v>
      </c>
      <c r="J30" s="838">
        <v>40333</v>
      </c>
      <c r="K30" s="838">
        <v>40345</v>
      </c>
      <c r="L30" s="657" t="s">
        <v>845</v>
      </c>
      <c r="M30" s="657">
        <v>1994</v>
      </c>
      <c r="N30" s="657">
        <v>8973</v>
      </c>
      <c r="O30" s="657">
        <v>12818.571428571429</v>
      </c>
      <c r="P30" s="657">
        <v>25637.142857142859</v>
      </c>
      <c r="Q30" s="657">
        <v>0</v>
      </c>
      <c r="R30" s="657">
        <v>0</v>
      </c>
      <c r="S30" s="657">
        <v>0</v>
      </c>
      <c r="T30" s="657">
        <v>0</v>
      </c>
      <c r="U30" s="657">
        <v>0</v>
      </c>
      <c r="V30" s="657">
        <v>0</v>
      </c>
      <c r="W30" s="657">
        <v>0</v>
      </c>
      <c r="X30" s="657">
        <v>10</v>
      </c>
      <c r="Y30" s="657" t="s">
        <v>112</v>
      </c>
      <c r="Z30" s="659" t="s">
        <v>112</v>
      </c>
    </row>
    <row r="31" spans="1:26" s="611" customFormat="1" ht="25.5">
      <c r="A31" s="610"/>
      <c r="B31" s="839">
        <v>46003</v>
      </c>
      <c r="C31" s="839">
        <v>9120</v>
      </c>
      <c r="D31" s="658" t="s">
        <v>856</v>
      </c>
      <c r="E31" s="657" t="s">
        <v>857</v>
      </c>
      <c r="F31" s="657" t="s">
        <v>858</v>
      </c>
      <c r="G31" s="657" t="s">
        <v>843</v>
      </c>
      <c r="H31" s="657" t="s">
        <v>844</v>
      </c>
      <c r="I31" s="657" t="s">
        <v>857</v>
      </c>
      <c r="J31" s="838">
        <v>40819</v>
      </c>
      <c r="K31" s="838">
        <v>40834</v>
      </c>
      <c r="L31" s="657" t="s">
        <v>845</v>
      </c>
      <c r="M31" s="657">
        <v>197</v>
      </c>
      <c r="N31" s="657">
        <v>886.5</v>
      </c>
      <c r="O31" s="657">
        <v>1266.4285714285716</v>
      </c>
      <c r="P31" s="657">
        <v>2532.8571428571431</v>
      </c>
      <c r="Q31" s="657">
        <v>0</v>
      </c>
      <c r="R31" s="657">
        <v>0</v>
      </c>
      <c r="S31" s="657">
        <v>0</v>
      </c>
      <c r="T31" s="657">
        <v>0</v>
      </c>
      <c r="U31" s="657">
        <v>0</v>
      </c>
      <c r="V31" s="657">
        <v>0</v>
      </c>
      <c r="W31" s="657">
        <v>0</v>
      </c>
      <c r="X31" s="657">
        <v>1200</v>
      </c>
      <c r="Y31" s="657" t="s">
        <v>53</v>
      </c>
      <c r="Z31" s="659" t="s">
        <v>156</v>
      </c>
    </row>
    <row r="32" spans="1:26" s="611" customFormat="1" ht="25.5">
      <c r="A32" s="610"/>
      <c r="B32" s="839">
        <v>46003</v>
      </c>
      <c r="C32" s="839">
        <v>9120</v>
      </c>
      <c r="D32" s="658" t="s">
        <v>859</v>
      </c>
      <c r="E32" s="657" t="s">
        <v>860</v>
      </c>
      <c r="F32" s="657" t="s">
        <v>861</v>
      </c>
      <c r="G32" s="657" t="s">
        <v>843</v>
      </c>
      <c r="H32" s="657" t="s">
        <v>844</v>
      </c>
      <c r="I32" s="657" t="s">
        <v>860</v>
      </c>
      <c r="J32" s="838">
        <v>40927</v>
      </c>
      <c r="K32" s="838">
        <v>39841</v>
      </c>
      <c r="L32" s="657" t="s">
        <v>845</v>
      </c>
      <c r="M32" s="657">
        <v>2233</v>
      </c>
      <c r="N32" s="657">
        <v>10048.5</v>
      </c>
      <c r="O32" s="657">
        <v>14355</v>
      </c>
      <c r="P32" s="657">
        <v>0</v>
      </c>
      <c r="Q32" s="657">
        <v>28710.000000000004</v>
      </c>
      <c r="R32" s="657">
        <v>0</v>
      </c>
      <c r="S32" s="657">
        <v>0</v>
      </c>
      <c r="T32" s="657">
        <v>0</v>
      </c>
      <c r="U32" s="657">
        <v>0</v>
      </c>
      <c r="V32" s="657">
        <v>0</v>
      </c>
      <c r="W32" s="657">
        <v>0</v>
      </c>
      <c r="X32" s="657">
        <v>10</v>
      </c>
      <c r="Y32" s="657" t="s">
        <v>112</v>
      </c>
      <c r="Z32" s="659" t="s">
        <v>112</v>
      </c>
    </row>
    <row r="33" spans="1:26" s="611" customFormat="1" ht="25.5">
      <c r="A33" s="610"/>
      <c r="B33" s="839">
        <v>46003</v>
      </c>
      <c r="C33" s="839">
        <v>9120</v>
      </c>
      <c r="D33" s="658" t="s">
        <v>862</v>
      </c>
      <c r="E33" s="657" t="s">
        <v>863</v>
      </c>
      <c r="F33" s="657" t="s">
        <v>864</v>
      </c>
      <c r="G33" s="657" t="s">
        <v>843</v>
      </c>
      <c r="H33" s="657" t="s">
        <v>844</v>
      </c>
      <c r="I33" s="657" t="s">
        <v>863</v>
      </c>
      <c r="J33" s="838">
        <v>40954</v>
      </c>
      <c r="K33" s="838">
        <v>39990</v>
      </c>
      <c r="L33" s="657" t="s">
        <v>845</v>
      </c>
      <c r="M33" s="657">
        <v>3898</v>
      </c>
      <c r="N33" s="657">
        <v>17541</v>
      </c>
      <c r="O33" s="657">
        <v>25058.571428571428</v>
      </c>
      <c r="P33" s="657">
        <v>50117.142857142862</v>
      </c>
      <c r="Q33" s="657">
        <v>0</v>
      </c>
      <c r="R33" s="657">
        <v>0</v>
      </c>
      <c r="S33" s="657">
        <v>0</v>
      </c>
      <c r="T33" s="657">
        <v>0</v>
      </c>
      <c r="U33" s="657">
        <v>0</v>
      </c>
      <c r="V33" s="657">
        <v>0</v>
      </c>
      <c r="W33" s="657">
        <v>0</v>
      </c>
      <c r="X33" s="657">
        <v>10</v>
      </c>
      <c r="Y33" s="657" t="s">
        <v>112</v>
      </c>
      <c r="Z33" s="659" t="s">
        <v>112</v>
      </c>
    </row>
    <row r="34" spans="1:26" s="611" customFormat="1" ht="25.5">
      <c r="A34" s="610"/>
      <c r="B34" s="839">
        <v>46003</v>
      </c>
      <c r="C34" s="839">
        <v>9120</v>
      </c>
      <c r="D34" s="658" t="s">
        <v>865</v>
      </c>
      <c r="E34" s="657" t="s">
        <v>866</v>
      </c>
      <c r="F34" s="657" t="s">
        <v>867</v>
      </c>
      <c r="G34" s="657" t="s">
        <v>843</v>
      </c>
      <c r="H34" s="657" t="s">
        <v>844</v>
      </c>
      <c r="I34" s="657" t="s">
        <v>866</v>
      </c>
      <c r="J34" s="838">
        <v>41184</v>
      </c>
      <c r="K34" s="838">
        <v>41184</v>
      </c>
      <c r="L34" s="657" t="s">
        <v>845</v>
      </c>
      <c r="M34" s="657">
        <v>2978</v>
      </c>
      <c r="N34" s="657">
        <v>13401.000000000002</v>
      </c>
      <c r="O34" s="657">
        <v>19144.285714285717</v>
      </c>
      <c r="P34" s="657">
        <v>0</v>
      </c>
      <c r="Q34" s="657">
        <v>38288.571428571435</v>
      </c>
      <c r="R34" s="657">
        <v>0</v>
      </c>
      <c r="S34" s="657">
        <v>0</v>
      </c>
      <c r="T34" s="657">
        <v>0</v>
      </c>
      <c r="U34" s="657">
        <v>0</v>
      </c>
      <c r="V34" s="657">
        <v>0</v>
      </c>
      <c r="W34" s="657">
        <v>0</v>
      </c>
      <c r="X34" s="657">
        <v>10</v>
      </c>
      <c r="Y34" s="657" t="s">
        <v>112</v>
      </c>
      <c r="Z34" s="659" t="s">
        <v>112</v>
      </c>
    </row>
    <row r="35" spans="1:26" s="611" customFormat="1" ht="25.5">
      <c r="A35" s="610"/>
      <c r="B35" s="839">
        <v>46003</v>
      </c>
      <c r="C35" s="839">
        <v>9120</v>
      </c>
      <c r="D35" s="658" t="s">
        <v>868</v>
      </c>
      <c r="E35" s="657" t="s">
        <v>869</v>
      </c>
      <c r="F35" s="657" t="s">
        <v>870</v>
      </c>
      <c r="G35" s="657" t="s">
        <v>843</v>
      </c>
      <c r="H35" s="657" t="s">
        <v>844</v>
      </c>
      <c r="I35" s="657" t="s">
        <v>869</v>
      </c>
      <c r="J35" s="838">
        <v>41373</v>
      </c>
      <c r="K35" s="838">
        <v>41373</v>
      </c>
      <c r="L35" s="657" t="s">
        <v>845</v>
      </c>
      <c r="M35" s="657">
        <v>9.6999999999999993</v>
      </c>
      <c r="N35" s="657">
        <v>29.099999999999994</v>
      </c>
      <c r="O35" s="657">
        <v>41.571428571428562</v>
      </c>
      <c r="P35" s="657">
        <v>0</v>
      </c>
      <c r="Q35" s="657">
        <v>83.142857142857139</v>
      </c>
      <c r="R35" s="657">
        <v>0</v>
      </c>
      <c r="S35" s="657">
        <v>0</v>
      </c>
      <c r="T35" s="657">
        <v>0</v>
      </c>
      <c r="U35" s="657">
        <v>0</v>
      </c>
      <c r="V35" s="657">
        <v>0</v>
      </c>
      <c r="W35" s="657">
        <v>0</v>
      </c>
      <c r="X35" s="657">
        <v>10</v>
      </c>
      <c r="Y35" s="657" t="s">
        <v>112</v>
      </c>
      <c r="Z35" s="659" t="s">
        <v>112</v>
      </c>
    </row>
    <row r="36" spans="1:26" s="611" customFormat="1" ht="63.75">
      <c r="A36" s="610"/>
      <c r="B36" s="839">
        <v>46003</v>
      </c>
      <c r="C36" s="839">
        <v>9120</v>
      </c>
      <c r="D36" s="658" t="s">
        <v>871</v>
      </c>
      <c r="E36" s="657" t="s">
        <v>872</v>
      </c>
      <c r="F36" s="657" t="s">
        <v>873</v>
      </c>
      <c r="G36" s="657" t="s">
        <v>843</v>
      </c>
      <c r="H36" s="657" t="s">
        <v>844</v>
      </c>
      <c r="I36" s="657" t="s">
        <v>874</v>
      </c>
      <c r="J36" s="838">
        <v>41450</v>
      </c>
      <c r="K36" s="838">
        <v>41361</v>
      </c>
      <c r="L36" s="657" t="s">
        <v>845</v>
      </c>
      <c r="M36" s="657">
        <v>70</v>
      </c>
      <c r="N36" s="657">
        <v>236.25000000000003</v>
      </c>
      <c r="O36" s="657">
        <v>337.50000000000006</v>
      </c>
      <c r="P36" s="657">
        <v>675.00000000000011</v>
      </c>
      <c r="Q36" s="657">
        <v>0</v>
      </c>
      <c r="R36" s="657">
        <v>0</v>
      </c>
      <c r="S36" s="657">
        <v>0</v>
      </c>
      <c r="T36" s="657">
        <v>0</v>
      </c>
      <c r="U36" s="657">
        <v>0</v>
      </c>
      <c r="V36" s="657">
        <v>0</v>
      </c>
      <c r="W36" s="657">
        <v>0</v>
      </c>
      <c r="X36" s="657">
        <v>1600</v>
      </c>
      <c r="Y36" s="657" t="s">
        <v>50</v>
      </c>
      <c r="Z36" s="659" t="s">
        <v>156</v>
      </c>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17044.7</v>
      </c>
      <c r="N57" s="615">
        <f>SUM(N27:N56)</f>
        <v>76607.850000000006</v>
      </c>
      <c r="O57" s="615">
        <f t="shared" ref="O57:W57" si="2">SUM(O27:O56)</f>
        <v>109439.78571428572</v>
      </c>
      <c r="P57" s="615">
        <f t="shared" si="2"/>
        <v>151797.85714285716</v>
      </c>
      <c r="Q57" s="615">
        <f t="shared" si="2"/>
        <v>67081.71428571429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267</v>
      </c>
      <c r="N59" s="615">
        <f ca="1">SUMIF($Z$27:AB56,"tertiair",N27:N56)</f>
        <v>1122.75</v>
      </c>
      <c r="O59" s="615">
        <f ca="1">SUMIF($Z$27:AC56,"tertiair",O27:O56)</f>
        <v>1603.9285714285716</v>
      </c>
      <c r="P59" s="615">
        <f ca="1">SUMIF($Z$27:AD56,"tertiair",P27:P56)</f>
        <v>3207.8571428571431</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16777.7</v>
      </c>
      <c r="N60" s="620">
        <f t="shared" ref="N60:W60" si="4">SUMIF($Z$27:$Z$56,"landbouw",N27:N56)</f>
        <v>75485.100000000006</v>
      </c>
      <c r="O60" s="620">
        <f t="shared" si="4"/>
        <v>107835.85714285714</v>
      </c>
      <c r="P60" s="620">
        <f t="shared" si="4"/>
        <v>148590</v>
      </c>
      <c r="Q60" s="620">
        <f t="shared" si="4"/>
        <v>67081.71428571429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25.5">
      <c r="A63" s="612"/>
      <c r="B63" s="839">
        <v>46003</v>
      </c>
      <c r="C63" s="839">
        <v>9130</v>
      </c>
      <c r="D63" s="660" t="s">
        <v>875</v>
      </c>
      <c r="E63" s="660" t="s">
        <v>876</v>
      </c>
      <c r="F63" s="660" t="s">
        <v>877</v>
      </c>
      <c r="G63" s="660" t="s">
        <v>878</v>
      </c>
      <c r="H63" s="660" t="s">
        <v>879</v>
      </c>
      <c r="I63" s="660" t="s">
        <v>876</v>
      </c>
      <c r="J63" s="838">
        <v>41513</v>
      </c>
      <c r="K63" s="838">
        <v>41513</v>
      </c>
      <c r="L63" s="660" t="s">
        <v>880</v>
      </c>
      <c r="M63" s="660">
        <v>1189</v>
      </c>
      <c r="N63" s="660">
        <v>1783.5</v>
      </c>
      <c r="O63" s="660">
        <v>0</v>
      </c>
      <c r="P63" s="660">
        <v>0</v>
      </c>
      <c r="Q63" s="660">
        <v>5095.7142857142862</v>
      </c>
      <c r="R63" s="660">
        <v>0</v>
      </c>
      <c r="S63" s="660">
        <v>0</v>
      </c>
      <c r="T63" s="660">
        <v>0</v>
      </c>
      <c r="U63" s="660">
        <v>0</v>
      </c>
      <c r="V63" s="660">
        <v>0</v>
      </c>
      <c r="W63" s="660">
        <v>0</v>
      </c>
      <c r="X63" s="660">
        <v>500</v>
      </c>
      <c r="Y63" s="660" t="s">
        <v>41</v>
      </c>
      <c r="Z63" s="661" t="s">
        <v>390</v>
      </c>
    </row>
    <row r="64" spans="1:26" s="626" customFormat="1" ht="25.5">
      <c r="A64" s="612"/>
      <c r="B64" s="839">
        <v>46003</v>
      </c>
      <c r="C64" s="839">
        <v>9130</v>
      </c>
      <c r="D64" s="660" t="s">
        <v>881</v>
      </c>
      <c r="E64" s="660" t="s">
        <v>876</v>
      </c>
      <c r="F64" s="660" t="s">
        <v>882</v>
      </c>
      <c r="G64" s="660" t="s">
        <v>878</v>
      </c>
      <c r="H64" s="660" t="s">
        <v>879</v>
      </c>
      <c r="I64" s="660" t="s">
        <v>883</v>
      </c>
      <c r="J64" s="838">
        <v>37067</v>
      </c>
      <c r="K64" s="838">
        <v>37288</v>
      </c>
      <c r="L64" s="660" t="s">
        <v>880</v>
      </c>
      <c r="M64" s="660">
        <v>660</v>
      </c>
      <c r="N64" s="660">
        <v>2970</v>
      </c>
      <c r="O64" s="660">
        <v>0</v>
      </c>
      <c r="P64" s="660">
        <v>0</v>
      </c>
      <c r="Q64" s="660">
        <v>8485.7142857142862</v>
      </c>
      <c r="R64" s="660">
        <v>0</v>
      </c>
      <c r="S64" s="660">
        <v>0</v>
      </c>
      <c r="T64" s="660">
        <v>0</v>
      </c>
      <c r="U64" s="660">
        <v>0</v>
      </c>
      <c r="V64" s="660">
        <v>0</v>
      </c>
      <c r="W64" s="660">
        <v>0</v>
      </c>
      <c r="X64" s="660">
        <v>500</v>
      </c>
      <c r="Y64" s="660" t="s">
        <v>41</v>
      </c>
      <c r="Z64" s="661" t="s">
        <v>390</v>
      </c>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1849</v>
      </c>
      <c r="N88" s="615">
        <f t="shared" ref="N88:W88" si="5">SUM(N63:N87)</f>
        <v>4753.5</v>
      </c>
      <c r="O88" s="615">
        <f t="shared" si="5"/>
        <v>0</v>
      </c>
      <c r="P88" s="615">
        <f t="shared" si="5"/>
        <v>0</v>
      </c>
      <c r="Q88" s="615">
        <f t="shared" si="5"/>
        <v>13581.428571428572</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1849</v>
      </c>
      <c r="N89" s="615">
        <f t="shared" ref="N89:W89" si="6">SUMIF($Z$63:$Z$87,"industrie",N63:N87)</f>
        <v>4753.5</v>
      </c>
      <c r="O89" s="615">
        <f t="shared" si="6"/>
        <v>0</v>
      </c>
      <c r="P89" s="615">
        <f t="shared" si="6"/>
        <v>0</v>
      </c>
      <c r="Q89" s="615">
        <f t="shared" si="6"/>
        <v>13581.428571428572</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62505.000000000015</v>
      </c>
      <c r="C100" s="649">
        <f t="shared" si="9"/>
        <v>27621.882352941182</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89292.857142857159</v>
      </c>
      <c r="C101" s="652">
        <f t="shared" ref="C101:H101" si="10">$B$97*Q57</f>
        <v>39459.831932773115</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149447.20773334854</v>
      </c>
      <c r="D10" s="704">
        <f ca="1">tertiair!C16</f>
        <v>1603.9285714285716</v>
      </c>
      <c r="E10" s="704">
        <f ca="1">tertiair!D16</f>
        <v>68739.182865570998</v>
      </c>
      <c r="F10" s="704">
        <f>tertiair!E16</f>
        <v>1143.5142297171608</v>
      </c>
      <c r="G10" s="704">
        <f ca="1">tertiair!F16</f>
        <v>25219.174819770797</v>
      </c>
      <c r="H10" s="704">
        <f>tertiair!G16</f>
        <v>0</v>
      </c>
      <c r="I10" s="704">
        <f>tertiair!H16</f>
        <v>0</v>
      </c>
      <c r="J10" s="704">
        <f>tertiair!I16</f>
        <v>0</v>
      </c>
      <c r="K10" s="704">
        <f>tertiair!J16</f>
        <v>0</v>
      </c>
      <c r="L10" s="704">
        <f>tertiair!K16</f>
        <v>0</v>
      </c>
      <c r="M10" s="704">
        <f ca="1">tertiair!L16</f>
        <v>0</v>
      </c>
      <c r="N10" s="704">
        <f>tertiair!M16</f>
        <v>0</v>
      </c>
      <c r="O10" s="704">
        <f ca="1">tertiair!N16</f>
        <v>6977.324348226166</v>
      </c>
      <c r="P10" s="704">
        <f>tertiair!O16</f>
        <v>7.8166666666666664</v>
      </c>
      <c r="Q10" s="705">
        <f>tertiair!P16</f>
        <v>38.133333333333333</v>
      </c>
      <c r="R10" s="707">
        <f ca="1">SUM(C10:Q10)</f>
        <v>253176.28256806225</v>
      </c>
      <c r="S10" s="67"/>
    </row>
    <row r="11" spans="1:19" s="459" customFormat="1">
      <c r="A11" s="858" t="s">
        <v>225</v>
      </c>
      <c r="B11" s="863"/>
      <c r="C11" s="704">
        <f>huishoudens!B8</f>
        <v>97069.548046641285</v>
      </c>
      <c r="D11" s="704">
        <f>huishoudens!C8</f>
        <v>0</v>
      </c>
      <c r="E11" s="704">
        <f>huishoudens!D8</f>
        <v>220938.19699793452</v>
      </c>
      <c r="F11" s="704">
        <f>huishoudens!E8</f>
        <v>4294.102708729878</v>
      </c>
      <c r="G11" s="704">
        <f>huishoudens!F8</f>
        <v>0</v>
      </c>
      <c r="H11" s="704">
        <f>huishoudens!G8</f>
        <v>0</v>
      </c>
      <c r="I11" s="704">
        <f>huishoudens!H8</f>
        <v>0</v>
      </c>
      <c r="J11" s="704">
        <f>huishoudens!I8</f>
        <v>0</v>
      </c>
      <c r="K11" s="704">
        <f>huishoudens!J8</f>
        <v>8547.5139627422395</v>
      </c>
      <c r="L11" s="704">
        <f>huishoudens!K8</f>
        <v>0</v>
      </c>
      <c r="M11" s="704">
        <f>huishoudens!L8</f>
        <v>0</v>
      </c>
      <c r="N11" s="704">
        <f>huishoudens!M8</f>
        <v>0</v>
      </c>
      <c r="O11" s="704">
        <f>huishoudens!N8</f>
        <v>38248.543032039524</v>
      </c>
      <c r="P11" s="704">
        <f>huishoudens!O8</f>
        <v>948.94333333333338</v>
      </c>
      <c r="Q11" s="705">
        <f>huishoudens!P8</f>
        <v>3012.5333333333333</v>
      </c>
      <c r="R11" s="707">
        <f>SUM(C11:Q11)</f>
        <v>373059.38141475408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100031.86375075836</v>
      </c>
      <c r="D13" s="704">
        <f>industrie!C18</f>
        <v>0</v>
      </c>
      <c r="E13" s="704">
        <f>industrie!D18</f>
        <v>31128.555170723383</v>
      </c>
      <c r="F13" s="704">
        <f>industrie!E18</f>
        <v>6242.3510918501524</v>
      </c>
      <c r="G13" s="704">
        <f>industrie!F18</f>
        <v>25702.662249145505</v>
      </c>
      <c r="H13" s="704">
        <f>industrie!G18</f>
        <v>0</v>
      </c>
      <c r="I13" s="704">
        <f>industrie!H18</f>
        <v>0</v>
      </c>
      <c r="J13" s="704">
        <f>industrie!I18</f>
        <v>0</v>
      </c>
      <c r="K13" s="704">
        <f>industrie!J18</f>
        <v>165.5367236733897</v>
      </c>
      <c r="L13" s="704">
        <f>industrie!K18</f>
        <v>0</v>
      </c>
      <c r="M13" s="704">
        <f>industrie!L18</f>
        <v>0</v>
      </c>
      <c r="N13" s="704">
        <f>industrie!M18</f>
        <v>0</v>
      </c>
      <c r="O13" s="704">
        <f>industrie!N18</f>
        <v>3773.0289876819224</v>
      </c>
      <c r="P13" s="704">
        <f>industrie!O18</f>
        <v>0</v>
      </c>
      <c r="Q13" s="705">
        <f>industrie!P18</f>
        <v>0</v>
      </c>
      <c r="R13" s="707">
        <f>SUM(C13:Q13)</f>
        <v>167043.99797383274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346548.61953074817</v>
      </c>
      <c r="D15" s="709">
        <f t="shared" ref="D15:Q15" ca="1" si="0">SUM(D9:D14)</f>
        <v>1603.9285714285716</v>
      </c>
      <c r="E15" s="709">
        <f t="shared" ca="1" si="0"/>
        <v>320805.93503422884</v>
      </c>
      <c r="F15" s="709">
        <f t="shared" si="0"/>
        <v>11679.96803029719</v>
      </c>
      <c r="G15" s="709">
        <f t="shared" ca="1" si="0"/>
        <v>50921.837068916298</v>
      </c>
      <c r="H15" s="709">
        <f t="shared" si="0"/>
        <v>0</v>
      </c>
      <c r="I15" s="709">
        <f t="shared" si="0"/>
        <v>0</v>
      </c>
      <c r="J15" s="709">
        <f t="shared" si="0"/>
        <v>0</v>
      </c>
      <c r="K15" s="709">
        <f t="shared" si="0"/>
        <v>8713.0506864156287</v>
      </c>
      <c r="L15" s="709">
        <f t="shared" si="0"/>
        <v>0</v>
      </c>
      <c r="M15" s="709">
        <f t="shared" ca="1" si="0"/>
        <v>0</v>
      </c>
      <c r="N15" s="709">
        <f t="shared" si="0"/>
        <v>0</v>
      </c>
      <c r="O15" s="709">
        <f t="shared" ca="1" si="0"/>
        <v>48998.896367947615</v>
      </c>
      <c r="P15" s="709">
        <f t="shared" si="0"/>
        <v>956.7600000000001</v>
      </c>
      <c r="Q15" s="710">
        <f t="shared" si="0"/>
        <v>3050.6666666666665</v>
      </c>
      <c r="R15" s="711">
        <f ca="1">SUM(R9:R14)</f>
        <v>793279.66195664904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3871.0711429020985</v>
      </c>
      <c r="I18" s="704">
        <f>transport!H54</f>
        <v>0</v>
      </c>
      <c r="J18" s="704">
        <f>transport!I54</f>
        <v>0</v>
      </c>
      <c r="K18" s="704">
        <f>transport!J54</f>
        <v>0</v>
      </c>
      <c r="L18" s="704">
        <f>transport!K54</f>
        <v>0</v>
      </c>
      <c r="M18" s="704">
        <f>transport!L54</f>
        <v>0</v>
      </c>
      <c r="N18" s="704">
        <f>transport!M54</f>
        <v>172.15600204116663</v>
      </c>
      <c r="O18" s="704">
        <f>transport!N54</f>
        <v>0</v>
      </c>
      <c r="P18" s="704">
        <f>transport!O54</f>
        <v>0</v>
      </c>
      <c r="Q18" s="705">
        <f>transport!P54</f>
        <v>0</v>
      </c>
      <c r="R18" s="707">
        <f>SUM(C18:Q18)</f>
        <v>4043.2271449432651</v>
      </c>
      <c r="S18" s="67"/>
    </row>
    <row r="19" spans="1:19" s="459" customFormat="1" ht="15" thickBot="1">
      <c r="A19" s="858" t="s">
        <v>307</v>
      </c>
      <c r="B19" s="863"/>
      <c r="C19" s="713">
        <f>transport!B14</f>
        <v>25.747701487832341</v>
      </c>
      <c r="D19" s="713">
        <f>transport!C14</f>
        <v>0</v>
      </c>
      <c r="E19" s="713">
        <f>transport!D14</f>
        <v>41.755769671382055</v>
      </c>
      <c r="F19" s="713">
        <f>transport!E14</f>
        <v>1472.5647049868126</v>
      </c>
      <c r="G19" s="713">
        <f>transport!F14</f>
        <v>0</v>
      </c>
      <c r="H19" s="713">
        <f>transport!G14</f>
        <v>541053.66747406882</v>
      </c>
      <c r="I19" s="713">
        <f>transport!H14</f>
        <v>64445.871056383861</v>
      </c>
      <c r="J19" s="713">
        <f>transport!I14</f>
        <v>0</v>
      </c>
      <c r="K19" s="713">
        <f>transport!J14</f>
        <v>0</v>
      </c>
      <c r="L19" s="713">
        <f>transport!K14</f>
        <v>0</v>
      </c>
      <c r="M19" s="713">
        <f>transport!L14</f>
        <v>0</v>
      </c>
      <c r="N19" s="713">
        <f>transport!M14</f>
        <v>27166.511229803175</v>
      </c>
      <c r="O19" s="713">
        <f>transport!N14</f>
        <v>0</v>
      </c>
      <c r="P19" s="713">
        <f>transport!O14</f>
        <v>0</v>
      </c>
      <c r="Q19" s="714">
        <f>transport!P14</f>
        <v>0</v>
      </c>
      <c r="R19" s="715">
        <f>SUM(C19:Q19)</f>
        <v>634206.11793640186</v>
      </c>
      <c r="S19" s="67"/>
    </row>
    <row r="20" spans="1:19" s="459" customFormat="1" ht="15.75" thickBot="1">
      <c r="A20" s="716" t="s">
        <v>230</v>
      </c>
      <c r="B20" s="866"/>
      <c r="C20" s="861">
        <f>SUM(C17:C19)</f>
        <v>25.747701487832341</v>
      </c>
      <c r="D20" s="717">
        <f t="shared" ref="D20:R20" si="1">SUM(D17:D19)</f>
        <v>0</v>
      </c>
      <c r="E20" s="717">
        <f t="shared" si="1"/>
        <v>41.755769671382055</v>
      </c>
      <c r="F20" s="717">
        <f t="shared" si="1"/>
        <v>1472.5647049868126</v>
      </c>
      <c r="G20" s="717">
        <f t="shared" si="1"/>
        <v>0</v>
      </c>
      <c r="H20" s="717">
        <f t="shared" si="1"/>
        <v>544924.73861697095</v>
      </c>
      <c r="I20" s="717">
        <f t="shared" si="1"/>
        <v>64445.871056383861</v>
      </c>
      <c r="J20" s="717">
        <f t="shared" si="1"/>
        <v>0</v>
      </c>
      <c r="K20" s="717">
        <f t="shared" si="1"/>
        <v>0</v>
      </c>
      <c r="L20" s="717">
        <f t="shared" si="1"/>
        <v>0</v>
      </c>
      <c r="M20" s="717">
        <f t="shared" si="1"/>
        <v>0</v>
      </c>
      <c r="N20" s="717">
        <f t="shared" si="1"/>
        <v>27338.667231844342</v>
      </c>
      <c r="O20" s="717">
        <f t="shared" si="1"/>
        <v>0</v>
      </c>
      <c r="P20" s="717">
        <f t="shared" si="1"/>
        <v>0</v>
      </c>
      <c r="Q20" s="718">
        <f t="shared" si="1"/>
        <v>0</v>
      </c>
      <c r="R20" s="719">
        <f t="shared" si="1"/>
        <v>638249.34508134518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9651.6933956871708</v>
      </c>
      <c r="D22" s="713">
        <f>+landbouw!C8</f>
        <v>107835.85714285714</v>
      </c>
      <c r="E22" s="713">
        <f>+landbouw!D8</f>
        <v>0</v>
      </c>
      <c r="F22" s="713">
        <f>+landbouw!E8</f>
        <v>121.62377069482154</v>
      </c>
      <c r="G22" s="713">
        <f>+landbouw!F8</f>
        <v>33300.76010879143</v>
      </c>
      <c r="H22" s="713">
        <f>+landbouw!G8</f>
        <v>0</v>
      </c>
      <c r="I22" s="713">
        <f>+landbouw!H8</f>
        <v>0</v>
      </c>
      <c r="J22" s="713">
        <f>+landbouw!I8</f>
        <v>0</v>
      </c>
      <c r="K22" s="713">
        <f>+landbouw!J8</f>
        <v>1451.5049701330865</v>
      </c>
      <c r="L22" s="713">
        <f>+landbouw!K8</f>
        <v>0</v>
      </c>
      <c r="M22" s="713">
        <f>+landbouw!L8</f>
        <v>0</v>
      </c>
      <c r="N22" s="713">
        <f>+landbouw!M8</f>
        <v>0</v>
      </c>
      <c r="O22" s="713">
        <f>+landbouw!N8</f>
        <v>0</v>
      </c>
      <c r="P22" s="713">
        <f>+landbouw!O8</f>
        <v>0</v>
      </c>
      <c r="Q22" s="714">
        <f>+landbouw!P8</f>
        <v>0</v>
      </c>
      <c r="R22" s="715">
        <f>SUM(C22:Q22)</f>
        <v>152361.43938816365</v>
      </c>
      <c r="S22" s="67"/>
    </row>
    <row r="23" spans="1:19" s="459" customFormat="1" ht="17.25" thickTop="1" thickBot="1">
      <c r="A23" s="720" t="s">
        <v>116</v>
      </c>
      <c r="B23" s="852"/>
      <c r="C23" s="721">
        <f ca="1">C20+C15+C22</f>
        <v>356226.06062792317</v>
      </c>
      <c r="D23" s="721">
        <f t="shared" ref="D23:Q23" ca="1" si="2">D20+D15+D22</f>
        <v>109439.78571428571</v>
      </c>
      <c r="E23" s="721">
        <f t="shared" ca="1" si="2"/>
        <v>320847.69080390024</v>
      </c>
      <c r="F23" s="721">
        <f t="shared" si="2"/>
        <v>13274.156505978824</v>
      </c>
      <c r="G23" s="721">
        <f t="shared" ca="1" si="2"/>
        <v>84222.597177707736</v>
      </c>
      <c r="H23" s="721">
        <f t="shared" si="2"/>
        <v>544924.73861697095</v>
      </c>
      <c r="I23" s="721">
        <f t="shared" si="2"/>
        <v>64445.871056383861</v>
      </c>
      <c r="J23" s="721">
        <f t="shared" si="2"/>
        <v>0</v>
      </c>
      <c r="K23" s="721">
        <f t="shared" si="2"/>
        <v>10164.555656548715</v>
      </c>
      <c r="L23" s="721">
        <f t="shared" si="2"/>
        <v>0</v>
      </c>
      <c r="M23" s="721">
        <f t="shared" ca="1" si="2"/>
        <v>0</v>
      </c>
      <c r="N23" s="721">
        <f t="shared" si="2"/>
        <v>27338.667231844342</v>
      </c>
      <c r="O23" s="721">
        <f t="shared" ca="1" si="2"/>
        <v>48998.896367947615</v>
      </c>
      <c r="P23" s="721">
        <f t="shared" si="2"/>
        <v>956.7600000000001</v>
      </c>
      <c r="Q23" s="722">
        <f t="shared" si="2"/>
        <v>3050.6666666666665</v>
      </c>
      <c r="R23" s="723">
        <f ca="1">R20+R15+R22</f>
        <v>1583890.4464261578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23983.393551278412</v>
      </c>
      <c r="D36" s="704">
        <f ca="1">tertiair!C20</f>
        <v>264.34912586820889</v>
      </c>
      <c r="E36" s="704">
        <f ca="1">tertiair!D20</f>
        <v>13885.314938845342</v>
      </c>
      <c r="F36" s="704">
        <f>tertiair!E20</f>
        <v>259.5777301457955</v>
      </c>
      <c r="G36" s="704">
        <f ca="1">tertiair!F20</f>
        <v>6733.5196768788028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45126.155023016552</v>
      </c>
    </row>
    <row r="37" spans="1:18">
      <c r="A37" s="873" t="s">
        <v>225</v>
      </c>
      <c r="B37" s="880"/>
      <c r="C37" s="704">
        <f ca="1">huishoudens!B12</f>
        <v>15577.78969548342</v>
      </c>
      <c r="D37" s="704">
        <f ca="1">huishoudens!C12</f>
        <v>0</v>
      </c>
      <c r="E37" s="704">
        <f>huishoudens!D12</f>
        <v>44629.515793582774</v>
      </c>
      <c r="F37" s="704">
        <f>huishoudens!E12</f>
        <v>974.76131488168232</v>
      </c>
      <c r="G37" s="704">
        <f>huishoudens!F12</f>
        <v>0</v>
      </c>
      <c r="H37" s="704">
        <f>huishoudens!G12</f>
        <v>0</v>
      </c>
      <c r="I37" s="704">
        <f>huishoudens!H12</f>
        <v>0</v>
      </c>
      <c r="J37" s="704">
        <f>huishoudens!I12</f>
        <v>0</v>
      </c>
      <c r="K37" s="704">
        <f>huishoudens!J12</f>
        <v>3025.8199428107528</v>
      </c>
      <c r="L37" s="704">
        <f>huishoudens!K12</f>
        <v>0</v>
      </c>
      <c r="M37" s="704">
        <f>huishoudens!L12</f>
        <v>0</v>
      </c>
      <c r="N37" s="704">
        <f>huishoudens!M12</f>
        <v>0</v>
      </c>
      <c r="O37" s="704">
        <f>huishoudens!N12</f>
        <v>0</v>
      </c>
      <c r="P37" s="704">
        <f>huishoudens!O12</f>
        <v>0</v>
      </c>
      <c r="Q37" s="814">
        <f>huishoudens!P12</f>
        <v>0</v>
      </c>
      <c r="R37" s="905">
        <f ca="1">SUM(C37:Q37)</f>
        <v>64207.886746758631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16053.184213939308</v>
      </c>
      <c r="D39" s="704">
        <f ca="1">industrie!C22</f>
        <v>0</v>
      </c>
      <c r="E39" s="704">
        <f>industrie!D22</f>
        <v>6287.9681444861235</v>
      </c>
      <c r="F39" s="704">
        <f>industrie!E22</f>
        <v>1417.0136978499847</v>
      </c>
      <c r="G39" s="704">
        <f>industrie!F22</f>
        <v>6862.6108205218507</v>
      </c>
      <c r="H39" s="704">
        <f>industrie!G22</f>
        <v>0</v>
      </c>
      <c r="I39" s="704">
        <f>industrie!H22</f>
        <v>0</v>
      </c>
      <c r="J39" s="704">
        <f>industrie!I22</f>
        <v>0</v>
      </c>
      <c r="K39" s="704">
        <f>industrie!J22</f>
        <v>58.600000180379951</v>
      </c>
      <c r="L39" s="704">
        <f>industrie!K22</f>
        <v>0</v>
      </c>
      <c r="M39" s="704">
        <f>industrie!L22</f>
        <v>0</v>
      </c>
      <c r="N39" s="704">
        <f>industrie!M22</f>
        <v>0</v>
      </c>
      <c r="O39" s="704">
        <f>industrie!N22</f>
        <v>0</v>
      </c>
      <c r="P39" s="704">
        <f>industrie!O22</f>
        <v>0</v>
      </c>
      <c r="Q39" s="814">
        <f>industrie!P22</f>
        <v>0</v>
      </c>
      <c r="R39" s="906">
        <f ca="1">SUM(C39:Q39)</f>
        <v>30679.376876977647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55614.367460701134</v>
      </c>
      <c r="D41" s="749">
        <f t="shared" ref="D41:R41" ca="1" si="4">SUM(D35:D40)</f>
        <v>264.34912586820889</v>
      </c>
      <c r="E41" s="749">
        <f t="shared" ca="1" si="4"/>
        <v>64802.798876914239</v>
      </c>
      <c r="F41" s="749">
        <f t="shared" si="4"/>
        <v>2651.3527428774623</v>
      </c>
      <c r="G41" s="749">
        <f t="shared" ca="1" si="4"/>
        <v>13596.130497400653</v>
      </c>
      <c r="H41" s="749">
        <f t="shared" si="4"/>
        <v>0</v>
      </c>
      <c r="I41" s="749">
        <f t="shared" si="4"/>
        <v>0</v>
      </c>
      <c r="J41" s="749">
        <f t="shared" si="4"/>
        <v>0</v>
      </c>
      <c r="K41" s="749">
        <f t="shared" si="4"/>
        <v>3084.4199429911328</v>
      </c>
      <c r="L41" s="749">
        <f t="shared" si="4"/>
        <v>0</v>
      </c>
      <c r="M41" s="749">
        <f t="shared" ca="1" si="4"/>
        <v>0</v>
      </c>
      <c r="N41" s="749">
        <f t="shared" si="4"/>
        <v>0</v>
      </c>
      <c r="O41" s="749">
        <f t="shared" ca="1" si="4"/>
        <v>0</v>
      </c>
      <c r="P41" s="749">
        <f t="shared" si="4"/>
        <v>0</v>
      </c>
      <c r="Q41" s="750">
        <f t="shared" si="4"/>
        <v>0</v>
      </c>
      <c r="R41" s="751">
        <f t="shared" ca="1" si="4"/>
        <v>140013.41864675283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1033.5759951548603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1033.5759951548603</v>
      </c>
    </row>
    <row r="45" spans="1:18" ht="15" thickBot="1">
      <c r="A45" s="876" t="s">
        <v>307</v>
      </c>
      <c r="B45" s="886"/>
      <c r="C45" s="713">
        <f ca="1">transport!B18</f>
        <v>4.1320093375402918</v>
      </c>
      <c r="D45" s="713">
        <f>transport!C18</f>
        <v>0</v>
      </c>
      <c r="E45" s="713">
        <f>transport!D18</f>
        <v>8.4346654736191748</v>
      </c>
      <c r="F45" s="713">
        <f>transport!E18</f>
        <v>334.27218803200645</v>
      </c>
      <c r="G45" s="713">
        <f>transport!F18</f>
        <v>0</v>
      </c>
      <c r="H45" s="713">
        <f>transport!G18</f>
        <v>144461.32921557638</v>
      </c>
      <c r="I45" s="713">
        <f>transport!H18</f>
        <v>16047.021893039582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160855.18997145913</v>
      </c>
    </row>
    <row r="46" spans="1:18" ht="15.75" thickBot="1">
      <c r="A46" s="874" t="s">
        <v>230</v>
      </c>
      <c r="B46" s="887"/>
      <c r="C46" s="749">
        <f t="shared" ref="C46:R46" ca="1" si="5">SUM(C43:C45)</f>
        <v>4.1320093375402918</v>
      </c>
      <c r="D46" s="749">
        <f t="shared" ca="1" si="5"/>
        <v>0</v>
      </c>
      <c r="E46" s="749">
        <f t="shared" si="5"/>
        <v>8.4346654736191748</v>
      </c>
      <c r="F46" s="749">
        <f t="shared" si="5"/>
        <v>334.27218803200645</v>
      </c>
      <c r="G46" s="749">
        <f t="shared" si="5"/>
        <v>0</v>
      </c>
      <c r="H46" s="749">
        <f t="shared" si="5"/>
        <v>145494.90521073123</v>
      </c>
      <c r="I46" s="749">
        <f t="shared" si="5"/>
        <v>16047.021893039582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161888.76596661398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1548.9105795677324</v>
      </c>
      <c r="D48" s="704">
        <f ca="1">+landbouw!C12</f>
        <v>17772.80801698894</v>
      </c>
      <c r="E48" s="704">
        <f>+landbouw!D12</f>
        <v>0</v>
      </c>
      <c r="F48" s="704">
        <f>+landbouw!E12</f>
        <v>27.608595947724492</v>
      </c>
      <c r="G48" s="704">
        <f>+landbouw!F12</f>
        <v>8891.3029490473127</v>
      </c>
      <c r="H48" s="704">
        <f>+landbouw!G12</f>
        <v>0</v>
      </c>
      <c r="I48" s="704">
        <f>+landbouw!H12</f>
        <v>0</v>
      </c>
      <c r="J48" s="704">
        <f>+landbouw!I12</f>
        <v>0</v>
      </c>
      <c r="K48" s="704">
        <f>+landbouw!J12</f>
        <v>513.83275942711259</v>
      </c>
      <c r="L48" s="704">
        <f>+landbouw!K12</f>
        <v>0</v>
      </c>
      <c r="M48" s="704">
        <f>+landbouw!L12</f>
        <v>0</v>
      </c>
      <c r="N48" s="704">
        <f>+landbouw!M12</f>
        <v>0</v>
      </c>
      <c r="O48" s="704">
        <f>+landbouw!N12</f>
        <v>0</v>
      </c>
      <c r="P48" s="704">
        <f>+landbouw!O12</f>
        <v>0</v>
      </c>
      <c r="Q48" s="705">
        <f>+landbouw!P12</f>
        <v>0</v>
      </c>
      <c r="R48" s="747">
        <f ca="1">SUM(C48:Q48)</f>
        <v>28754.462900978822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57167.410049606406</v>
      </c>
      <c r="D53" s="759">
        <f t="shared" ref="D53:Q53" ca="1" si="6">D41+D46+D48</f>
        <v>18037.157142857148</v>
      </c>
      <c r="E53" s="759">
        <f t="shared" ca="1" si="6"/>
        <v>64811.233542387861</v>
      </c>
      <c r="F53" s="759">
        <f t="shared" si="6"/>
        <v>3013.2335268571933</v>
      </c>
      <c r="G53" s="759">
        <f t="shared" ca="1" si="6"/>
        <v>22487.433446447965</v>
      </c>
      <c r="H53" s="759">
        <f t="shared" si="6"/>
        <v>145494.90521073123</v>
      </c>
      <c r="I53" s="759">
        <f t="shared" si="6"/>
        <v>16047.021893039582</v>
      </c>
      <c r="J53" s="759">
        <f t="shared" si="6"/>
        <v>0</v>
      </c>
      <c r="K53" s="759">
        <f t="shared" si="6"/>
        <v>3598.2527024182455</v>
      </c>
      <c r="L53" s="759">
        <f t="shared" si="6"/>
        <v>0</v>
      </c>
      <c r="M53" s="759">
        <f t="shared" ca="1" si="6"/>
        <v>0</v>
      </c>
      <c r="N53" s="759">
        <f t="shared" si="6"/>
        <v>0</v>
      </c>
      <c r="O53" s="759">
        <f t="shared" ca="1" si="6"/>
        <v>0</v>
      </c>
      <c r="P53" s="759">
        <f>P41+P46+P48</f>
        <v>0</v>
      </c>
      <c r="Q53" s="760">
        <f t="shared" si="6"/>
        <v>0</v>
      </c>
      <c r="R53" s="761">
        <f ca="1">R41+R46+R48</f>
        <v>330656.64751434565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0.16048070696690986</v>
      </c>
      <c r="D55" s="824">
        <f t="shared" ca="1" si="7"/>
        <v>0.16481352759540965</v>
      </c>
      <c r="E55" s="824">
        <f t="shared" ca="1" si="7"/>
        <v>0.20200000000000004</v>
      </c>
      <c r="F55" s="824">
        <f t="shared" si="7"/>
        <v>0.22700000000000001</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30914.596488539959</v>
      </c>
      <c r="C64" s="781">
        <f>'lokale energieproductie'!B4</f>
        <v>30914.596488539959</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42405.317534829315</v>
      </c>
      <c r="C66" s="781">
        <f>'lokale energieproductie'!B6</f>
        <v>42405.317534829315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76607.850000000006</v>
      </c>
      <c r="C67" s="780">
        <f>B67*IFERROR(SUM(J67:L67)/SUM(D67:M67),0)</f>
        <v>23478.6</v>
      </c>
      <c r="D67" s="812">
        <f>'lokale energieproductie'!C7</f>
        <v>62505.000000000015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27621.882352941182</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12626.010000000004</v>
      </c>
      <c r="P67" s="910">
        <v>0</v>
      </c>
      <c r="Q67" s="771"/>
      <c r="R67" s="728"/>
    </row>
    <row r="68" spans="1:18" ht="30.75" thickBot="1">
      <c r="A68" s="787" t="s">
        <v>353</v>
      </c>
      <c r="B68" s="780">
        <f>'lokale energieproductie'!B8</f>
        <v>4753.5</v>
      </c>
      <c r="C68" s="780">
        <f>B68*IFERROR(SUM(J68:L68)/SUM(D68:M68),0)</f>
        <v>4753.5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13581.428571428572</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154681.26402336929</v>
      </c>
      <c r="C69" s="789">
        <f>SUM(C64:C68)</f>
        <v>101552.01402336927</v>
      </c>
      <c r="D69" s="790">
        <f t="shared" ref="D69:M69" si="8">SUM(D67:D68)</f>
        <v>62505.000000000015</v>
      </c>
      <c r="E69" s="790">
        <f t="shared" si="8"/>
        <v>0</v>
      </c>
      <c r="F69" s="790">
        <f t="shared" si="8"/>
        <v>0</v>
      </c>
      <c r="G69" s="790">
        <f t="shared" si="8"/>
        <v>0</v>
      </c>
      <c r="H69" s="790">
        <f t="shared" si="8"/>
        <v>0</v>
      </c>
      <c r="I69" s="790">
        <f t="shared" si="8"/>
        <v>0</v>
      </c>
      <c r="J69" s="790">
        <f t="shared" si="8"/>
        <v>0</v>
      </c>
      <c r="K69" s="790">
        <f t="shared" si="8"/>
        <v>41203.310924369755</v>
      </c>
      <c r="L69" s="790">
        <f t="shared" si="8"/>
        <v>0</v>
      </c>
      <c r="M69" s="918">
        <f t="shared" si="8"/>
        <v>0</v>
      </c>
      <c r="N69" s="791">
        <v>0</v>
      </c>
      <c r="O69" s="791">
        <f>SUM(O67:O68)</f>
        <v>12626.010000000004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109439.78571428572</v>
      </c>
      <c r="C78" s="803">
        <f>B78*IFERROR(SUM(I78:L78)/SUM(D78:M78),0)</f>
        <v>33540.857142857145</v>
      </c>
      <c r="D78" s="818">
        <f>'lokale energieproductie'!C16</f>
        <v>89292.857142857159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39459.831932773115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18037.157142857148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109439.78571428572</v>
      </c>
      <c r="C81" s="789">
        <f>SUM(C78:C80)</f>
        <v>33540.857142857145</v>
      </c>
      <c r="D81" s="789">
        <f t="shared" ref="D81:P81" si="9">SUM(D78:D80)</f>
        <v>89292.857142857159</v>
      </c>
      <c r="E81" s="789">
        <f t="shared" si="9"/>
        <v>0</v>
      </c>
      <c r="F81" s="789">
        <f t="shared" si="9"/>
        <v>0</v>
      </c>
      <c r="G81" s="789">
        <f t="shared" si="9"/>
        <v>0</v>
      </c>
      <c r="H81" s="789">
        <f t="shared" si="9"/>
        <v>0</v>
      </c>
      <c r="I81" s="789">
        <f t="shared" si="9"/>
        <v>0</v>
      </c>
      <c r="J81" s="789">
        <f t="shared" si="9"/>
        <v>0</v>
      </c>
      <c r="K81" s="789">
        <f t="shared" si="9"/>
        <v>39459.831932773115</v>
      </c>
      <c r="L81" s="789">
        <f t="shared" si="9"/>
        <v>0</v>
      </c>
      <c r="M81" s="789">
        <f t="shared" si="9"/>
        <v>0</v>
      </c>
      <c r="N81" s="789">
        <v>0</v>
      </c>
      <c r="O81" s="789">
        <f>SUM(O78:O80)</f>
        <v>18037.157142857148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97069.548046641285</v>
      </c>
      <c r="C4" s="463">
        <f>huishoudens!C8</f>
        <v>0</v>
      </c>
      <c r="D4" s="463">
        <f>huishoudens!D8</f>
        <v>220938.19699793452</v>
      </c>
      <c r="E4" s="463">
        <f>huishoudens!E8</f>
        <v>4294.102708729878</v>
      </c>
      <c r="F4" s="463">
        <f>huishoudens!F8</f>
        <v>0</v>
      </c>
      <c r="G4" s="463">
        <f>huishoudens!G8</f>
        <v>0</v>
      </c>
      <c r="H4" s="463">
        <f>huishoudens!H8</f>
        <v>0</v>
      </c>
      <c r="I4" s="463">
        <f>huishoudens!I8</f>
        <v>0</v>
      </c>
      <c r="J4" s="463">
        <f>huishoudens!J8</f>
        <v>8547.5139627422395</v>
      </c>
      <c r="K4" s="463">
        <f>huishoudens!K8</f>
        <v>0</v>
      </c>
      <c r="L4" s="463">
        <f>huishoudens!L8</f>
        <v>0</v>
      </c>
      <c r="M4" s="463">
        <f>huishoudens!M8</f>
        <v>0</v>
      </c>
      <c r="N4" s="463">
        <f>huishoudens!N8</f>
        <v>38248.543032039524</v>
      </c>
      <c r="O4" s="463">
        <f>huishoudens!O8</f>
        <v>948.94333333333338</v>
      </c>
      <c r="P4" s="464">
        <f>huishoudens!P8</f>
        <v>3012.5333333333333</v>
      </c>
      <c r="Q4" s="465">
        <f>SUM(B4:P4)</f>
        <v>373059.38141475408</v>
      </c>
    </row>
    <row r="5" spans="1:17">
      <c r="A5" s="462" t="s">
        <v>156</v>
      </c>
      <c r="B5" s="463">
        <f ca="1">tertiair!B16</f>
        <v>146300.02373334853</v>
      </c>
      <c r="C5" s="463">
        <f ca="1">tertiair!C16</f>
        <v>1603.9285714285716</v>
      </c>
      <c r="D5" s="463">
        <f ca="1">tertiair!D16</f>
        <v>68739.182865570998</v>
      </c>
      <c r="E5" s="463">
        <f>tertiair!E16</f>
        <v>1143.5142297171608</v>
      </c>
      <c r="F5" s="463">
        <f ca="1">tertiair!F16</f>
        <v>25219.174819770797</v>
      </c>
      <c r="G5" s="463">
        <f>tertiair!G16</f>
        <v>0</v>
      </c>
      <c r="H5" s="463">
        <f>tertiair!H16</f>
        <v>0</v>
      </c>
      <c r="I5" s="463">
        <f>tertiair!I16</f>
        <v>0</v>
      </c>
      <c r="J5" s="463">
        <f>tertiair!J16</f>
        <v>0</v>
      </c>
      <c r="K5" s="463">
        <f>tertiair!K16</f>
        <v>0</v>
      </c>
      <c r="L5" s="463">
        <f ca="1">tertiair!L16</f>
        <v>0</v>
      </c>
      <c r="M5" s="463">
        <f>tertiair!M16</f>
        <v>0</v>
      </c>
      <c r="N5" s="463">
        <f ca="1">tertiair!N16</f>
        <v>6977.324348226166</v>
      </c>
      <c r="O5" s="463">
        <f>tertiair!O16</f>
        <v>7.8166666666666664</v>
      </c>
      <c r="P5" s="464">
        <f>tertiair!P16</f>
        <v>38.133333333333333</v>
      </c>
      <c r="Q5" s="462">
        <f t="shared" ref="Q5:Q13" ca="1" si="0">SUM(B5:P5)</f>
        <v>250029.09856806224</v>
      </c>
    </row>
    <row r="6" spans="1:17">
      <c r="A6" s="462" t="s">
        <v>194</v>
      </c>
      <c r="B6" s="463">
        <f>'openbare verlichting'!B8</f>
        <v>3147.1840000000002</v>
      </c>
      <c r="C6" s="463"/>
      <c r="D6" s="463"/>
      <c r="E6" s="463"/>
      <c r="F6" s="463"/>
      <c r="G6" s="463"/>
      <c r="H6" s="463"/>
      <c r="I6" s="463"/>
      <c r="J6" s="463"/>
      <c r="K6" s="463"/>
      <c r="L6" s="463"/>
      <c r="M6" s="463"/>
      <c r="N6" s="463"/>
      <c r="O6" s="463"/>
      <c r="P6" s="464"/>
      <c r="Q6" s="462">
        <f t="shared" si="0"/>
        <v>3147.1840000000002</v>
      </c>
    </row>
    <row r="7" spans="1:17">
      <c r="A7" s="462" t="s">
        <v>112</v>
      </c>
      <c r="B7" s="463">
        <f>landbouw!B8</f>
        <v>9651.6933956871708</v>
      </c>
      <c r="C7" s="463">
        <f>landbouw!C8</f>
        <v>107835.85714285714</v>
      </c>
      <c r="D7" s="463">
        <f>landbouw!D8</f>
        <v>0</v>
      </c>
      <c r="E7" s="463">
        <f>landbouw!E8</f>
        <v>121.62377069482154</v>
      </c>
      <c r="F7" s="463">
        <f>landbouw!F8</f>
        <v>33300.76010879143</v>
      </c>
      <c r="G7" s="463">
        <f>landbouw!G8</f>
        <v>0</v>
      </c>
      <c r="H7" s="463">
        <f>landbouw!H8</f>
        <v>0</v>
      </c>
      <c r="I7" s="463">
        <f>landbouw!I8</f>
        <v>0</v>
      </c>
      <c r="J7" s="463">
        <f>landbouw!J8</f>
        <v>1451.5049701330865</v>
      </c>
      <c r="K7" s="463">
        <f>landbouw!K8</f>
        <v>0</v>
      </c>
      <c r="L7" s="463">
        <f>landbouw!L8</f>
        <v>0</v>
      </c>
      <c r="M7" s="463">
        <f>landbouw!M8</f>
        <v>0</v>
      </c>
      <c r="N7" s="463">
        <f>landbouw!N8</f>
        <v>0</v>
      </c>
      <c r="O7" s="463">
        <f>landbouw!O8</f>
        <v>0</v>
      </c>
      <c r="P7" s="464">
        <f>landbouw!P8</f>
        <v>0</v>
      </c>
      <c r="Q7" s="462">
        <f t="shared" si="0"/>
        <v>152361.43938816365</v>
      </c>
    </row>
    <row r="8" spans="1:17">
      <c r="A8" s="462" t="s">
        <v>657</v>
      </c>
      <c r="B8" s="463">
        <f>industrie!B18</f>
        <v>100031.86375075836</v>
      </c>
      <c r="C8" s="463">
        <f>industrie!C18</f>
        <v>0</v>
      </c>
      <c r="D8" s="463">
        <f>industrie!D18</f>
        <v>31128.555170723383</v>
      </c>
      <c r="E8" s="463">
        <f>industrie!E18</f>
        <v>6242.3510918501524</v>
      </c>
      <c r="F8" s="463">
        <f>industrie!F18</f>
        <v>25702.662249145505</v>
      </c>
      <c r="G8" s="463">
        <f>industrie!G18</f>
        <v>0</v>
      </c>
      <c r="H8" s="463">
        <f>industrie!H18</f>
        <v>0</v>
      </c>
      <c r="I8" s="463">
        <f>industrie!I18</f>
        <v>0</v>
      </c>
      <c r="J8" s="463">
        <f>industrie!J18</f>
        <v>165.5367236733897</v>
      </c>
      <c r="K8" s="463">
        <f>industrie!K18</f>
        <v>0</v>
      </c>
      <c r="L8" s="463">
        <f>industrie!L18</f>
        <v>0</v>
      </c>
      <c r="M8" s="463">
        <f>industrie!M18</f>
        <v>0</v>
      </c>
      <c r="N8" s="463">
        <f>industrie!N18</f>
        <v>3773.0289876819224</v>
      </c>
      <c r="O8" s="463">
        <f>industrie!O18</f>
        <v>0</v>
      </c>
      <c r="P8" s="464">
        <f>industrie!P18</f>
        <v>0</v>
      </c>
      <c r="Q8" s="462">
        <f t="shared" si="0"/>
        <v>167043.99797383274</v>
      </c>
    </row>
    <row r="9" spans="1:17" s="468" customFormat="1">
      <c r="A9" s="466" t="s">
        <v>574</v>
      </c>
      <c r="B9" s="467">
        <f>transport!B14</f>
        <v>25.747701487832341</v>
      </c>
      <c r="C9" s="467">
        <f>transport!C14</f>
        <v>0</v>
      </c>
      <c r="D9" s="467">
        <f>transport!D14</f>
        <v>41.755769671382055</v>
      </c>
      <c r="E9" s="467">
        <f>transport!E14</f>
        <v>1472.5647049868126</v>
      </c>
      <c r="F9" s="467">
        <f>transport!F14</f>
        <v>0</v>
      </c>
      <c r="G9" s="467">
        <f>transport!G14</f>
        <v>541053.66747406882</v>
      </c>
      <c r="H9" s="467">
        <f>transport!H14</f>
        <v>64445.871056383861</v>
      </c>
      <c r="I9" s="467">
        <f>transport!I14</f>
        <v>0</v>
      </c>
      <c r="J9" s="467">
        <f>transport!J14</f>
        <v>0</v>
      </c>
      <c r="K9" s="467">
        <f>transport!K14</f>
        <v>0</v>
      </c>
      <c r="L9" s="467">
        <f>transport!L14</f>
        <v>0</v>
      </c>
      <c r="M9" s="467">
        <f>transport!M14</f>
        <v>27166.511229803175</v>
      </c>
      <c r="N9" s="467">
        <f>transport!N14</f>
        <v>0</v>
      </c>
      <c r="O9" s="467">
        <f>transport!O14</f>
        <v>0</v>
      </c>
      <c r="P9" s="467">
        <f>transport!P14</f>
        <v>0</v>
      </c>
      <c r="Q9" s="466">
        <f>SUM(B9:P9)</f>
        <v>634206.11793640186</v>
      </c>
    </row>
    <row r="10" spans="1:17">
      <c r="A10" s="462" t="s">
        <v>564</v>
      </c>
      <c r="B10" s="463">
        <f>transport!B54</f>
        <v>0</v>
      </c>
      <c r="C10" s="463">
        <f>transport!C54</f>
        <v>0</v>
      </c>
      <c r="D10" s="463">
        <f>transport!D54</f>
        <v>0</v>
      </c>
      <c r="E10" s="463">
        <f>transport!E54</f>
        <v>0</v>
      </c>
      <c r="F10" s="463">
        <f>transport!F54</f>
        <v>0</v>
      </c>
      <c r="G10" s="463">
        <f>transport!G54</f>
        <v>3871.0711429020985</v>
      </c>
      <c r="H10" s="463">
        <f>transport!H54</f>
        <v>0</v>
      </c>
      <c r="I10" s="463">
        <f>transport!I54</f>
        <v>0</v>
      </c>
      <c r="J10" s="463">
        <f>transport!J54</f>
        <v>0</v>
      </c>
      <c r="K10" s="463">
        <f>transport!K54</f>
        <v>0</v>
      </c>
      <c r="L10" s="463">
        <f>transport!L54</f>
        <v>0</v>
      </c>
      <c r="M10" s="463">
        <f>transport!M54</f>
        <v>172.15600204116663</v>
      </c>
      <c r="N10" s="463">
        <f>transport!N54</f>
        <v>0</v>
      </c>
      <c r="O10" s="463">
        <f>transport!O54</f>
        <v>0</v>
      </c>
      <c r="P10" s="464">
        <f>transport!P54</f>
        <v>0</v>
      </c>
      <c r="Q10" s="462">
        <f t="shared" si="0"/>
        <v>4043.2271449432651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356226.06062792323</v>
      </c>
      <c r="C14" s="473">
        <f t="shared" ref="C14:Q14" ca="1" si="1">SUM(C4:C13)</f>
        <v>109439.78571428571</v>
      </c>
      <c r="D14" s="473">
        <f t="shared" ca="1" si="1"/>
        <v>320847.69080390024</v>
      </c>
      <c r="E14" s="473">
        <f t="shared" si="1"/>
        <v>13274.156505978826</v>
      </c>
      <c r="F14" s="473">
        <f t="shared" ca="1" si="1"/>
        <v>84222.597177707736</v>
      </c>
      <c r="G14" s="473">
        <f t="shared" si="1"/>
        <v>544924.73861697095</v>
      </c>
      <c r="H14" s="473">
        <f t="shared" si="1"/>
        <v>64445.871056383861</v>
      </c>
      <c r="I14" s="473">
        <f t="shared" si="1"/>
        <v>0</v>
      </c>
      <c r="J14" s="473">
        <f t="shared" si="1"/>
        <v>10164.555656548715</v>
      </c>
      <c r="K14" s="473">
        <f t="shared" si="1"/>
        <v>0</v>
      </c>
      <c r="L14" s="473">
        <f t="shared" ca="1" si="1"/>
        <v>0</v>
      </c>
      <c r="M14" s="473">
        <f t="shared" si="1"/>
        <v>27338.667231844342</v>
      </c>
      <c r="N14" s="473">
        <f t="shared" ca="1" si="1"/>
        <v>48998.896367947615</v>
      </c>
      <c r="O14" s="473">
        <f t="shared" si="1"/>
        <v>956.7600000000001</v>
      </c>
      <c r="P14" s="474">
        <f t="shared" si="1"/>
        <v>3050.6666666666665</v>
      </c>
      <c r="Q14" s="474">
        <f t="shared" ca="1" si="1"/>
        <v>1583890.4464261581</v>
      </c>
    </row>
    <row r="16" spans="1:17">
      <c r="A16" s="476" t="s">
        <v>569</v>
      </c>
      <c r="B16" s="829">
        <f ca="1">huishoudens!B10</f>
        <v>0.16048070696690989</v>
      </c>
      <c r="C16" s="829">
        <f ca="1">huishoudens!C10</f>
        <v>0.16481352759540965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15577.78969548342</v>
      </c>
      <c r="C21" s="463">
        <f t="shared" ref="C21:C30" ca="1" si="3">C4*$C$16</f>
        <v>0</v>
      </c>
      <c r="D21" s="463">
        <f t="shared" ref="D21:D30" si="4">D4*$D$16</f>
        <v>44629.515793582774</v>
      </c>
      <c r="E21" s="463">
        <f t="shared" ref="E21:E30" si="5">E4*$E$16</f>
        <v>974.76131488168232</v>
      </c>
      <c r="F21" s="463">
        <f t="shared" ref="F21:F30" si="6">F4*$F$16</f>
        <v>0</v>
      </c>
      <c r="G21" s="463">
        <f t="shared" ref="G21:G30" si="7">G4*$G$16</f>
        <v>0</v>
      </c>
      <c r="H21" s="463">
        <f t="shared" ref="H21:H30" si="8">H4*$H$16</f>
        <v>0</v>
      </c>
      <c r="I21" s="463">
        <f t="shared" ref="I21:I30" si="9">I4*$I$16</f>
        <v>0</v>
      </c>
      <c r="J21" s="463">
        <f t="shared" ref="J21:J30" si="10">J4*$J$16</f>
        <v>3025.8199428107528</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64207.886746758631</v>
      </c>
    </row>
    <row r="22" spans="1:17">
      <c r="A22" s="462" t="s">
        <v>156</v>
      </c>
      <c r="B22" s="463">
        <f t="shared" ca="1" si="2"/>
        <v>23478.331238003466</v>
      </c>
      <c r="C22" s="463">
        <f t="shared" ca="1" si="3"/>
        <v>264.34912586820889</v>
      </c>
      <c r="D22" s="463">
        <f t="shared" ca="1" si="4"/>
        <v>13885.314938845342</v>
      </c>
      <c r="E22" s="463">
        <f t="shared" si="5"/>
        <v>259.5777301457955</v>
      </c>
      <c r="F22" s="463">
        <f t="shared" ca="1" si="6"/>
        <v>6733.5196768788028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44621.092709741606</v>
      </c>
    </row>
    <row r="23" spans="1:17">
      <c r="A23" s="462" t="s">
        <v>194</v>
      </c>
      <c r="B23" s="463">
        <f t="shared" ca="1" si="2"/>
        <v>505.06231327494737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505.06231327494737</v>
      </c>
    </row>
    <row r="24" spans="1:17">
      <c r="A24" s="462" t="s">
        <v>112</v>
      </c>
      <c r="B24" s="463">
        <f t="shared" ca="1" si="2"/>
        <v>1548.9105795677324</v>
      </c>
      <c r="C24" s="463">
        <f t="shared" ca="1" si="3"/>
        <v>17772.80801698894</v>
      </c>
      <c r="D24" s="463">
        <f t="shared" si="4"/>
        <v>0</v>
      </c>
      <c r="E24" s="463">
        <f t="shared" si="5"/>
        <v>27.608595947724492</v>
      </c>
      <c r="F24" s="463">
        <f t="shared" si="6"/>
        <v>8891.3029490473127</v>
      </c>
      <c r="G24" s="463">
        <f t="shared" si="7"/>
        <v>0</v>
      </c>
      <c r="H24" s="463">
        <f t="shared" si="8"/>
        <v>0</v>
      </c>
      <c r="I24" s="463">
        <f t="shared" si="9"/>
        <v>0</v>
      </c>
      <c r="J24" s="463">
        <f t="shared" si="10"/>
        <v>513.83275942711259</v>
      </c>
      <c r="K24" s="463">
        <f t="shared" si="11"/>
        <v>0</v>
      </c>
      <c r="L24" s="463">
        <f t="shared" si="12"/>
        <v>0</v>
      </c>
      <c r="M24" s="463">
        <f t="shared" si="13"/>
        <v>0</v>
      </c>
      <c r="N24" s="463">
        <f t="shared" si="14"/>
        <v>0</v>
      </c>
      <c r="O24" s="463">
        <f t="shared" si="15"/>
        <v>0</v>
      </c>
      <c r="P24" s="464">
        <f t="shared" si="16"/>
        <v>0</v>
      </c>
      <c r="Q24" s="462">
        <f t="shared" ca="1" si="17"/>
        <v>28754.462900978822</v>
      </c>
    </row>
    <row r="25" spans="1:17">
      <c r="A25" s="462" t="s">
        <v>657</v>
      </c>
      <c r="B25" s="463">
        <f t="shared" ca="1" si="2"/>
        <v>16053.184213939308</v>
      </c>
      <c r="C25" s="463">
        <f t="shared" ca="1" si="3"/>
        <v>0</v>
      </c>
      <c r="D25" s="463">
        <f t="shared" si="4"/>
        <v>6287.9681444861235</v>
      </c>
      <c r="E25" s="463">
        <f t="shared" si="5"/>
        <v>1417.0136978499847</v>
      </c>
      <c r="F25" s="463">
        <f t="shared" si="6"/>
        <v>6862.6108205218507</v>
      </c>
      <c r="G25" s="463">
        <f t="shared" si="7"/>
        <v>0</v>
      </c>
      <c r="H25" s="463">
        <f t="shared" si="8"/>
        <v>0</v>
      </c>
      <c r="I25" s="463">
        <f t="shared" si="9"/>
        <v>0</v>
      </c>
      <c r="J25" s="463">
        <f t="shared" si="10"/>
        <v>58.600000180379951</v>
      </c>
      <c r="K25" s="463">
        <f t="shared" si="11"/>
        <v>0</v>
      </c>
      <c r="L25" s="463">
        <f t="shared" si="12"/>
        <v>0</v>
      </c>
      <c r="M25" s="463">
        <f t="shared" si="13"/>
        <v>0</v>
      </c>
      <c r="N25" s="463">
        <f t="shared" si="14"/>
        <v>0</v>
      </c>
      <c r="O25" s="463">
        <f t="shared" si="15"/>
        <v>0</v>
      </c>
      <c r="P25" s="464">
        <f t="shared" si="16"/>
        <v>0</v>
      </c>
      <c r="Q25" s="462">
        <f t="shared" ca="1" si="17"/>
        <v>30679.376876977647</v>
      </c>
    </row>
    <row r="26" spans="1:17" s="468" customFormat="1">
      <c r="A26" s="466" t="s">
        <v>574</v>
      </c>
      <c r="B26" s="823">
        <f t="shared" ca="1" si="2"/>
        <v>4.1320093375402918</v>
      </c>
      <c r="C26" s="467">
        <f t="shared" ca="1" si="3"/>
        <v>0</v>
      </c>
      <c r="D26" s="467">
        <f t="shared" si="4"/>
        <v>8.4346654736191748</v>
      </c>
      <c r="E26" s="467">
        <f t="shared" si="5"/>
        <v>334.27218803200645</v>
      </c>
      <c r="F26" s="467">
        <f t="shared" si="6"/>
        <v>0</v>
      </c>
      <c r="G26" s="467">
        <f t="shared" si="7"/>
        <v>144461.32921557638</v>
      </c>
      <c r="H26" s="467">
        <f t="shared" si="8"/>
        <v>16047.021893039582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160855.18997145913</v>
      </c>
    </row>
    <row r="27" spans="1:17">
      <c r="A27" s="462" t="s">
        <v>564</v>
      </c>
      <c r="B27" s="463">
        <f t="shared" ca="1" si="2"/>
        <v>0</v>
      </c>
      <c r="C27" s="463">
        <f t="shared" ca="1" si="3"/>
        <v>0</v>
      </c>
      <c r="D27" s="463">
        <f t="shared" si="4"/>
        <v>0</v>
      </c>
      <c r="E27" s="463">
        <f t="shared" si="5"/>
        <v>0</v>
      </c>
      <c r="F27" s="463">
        <f t="shared" si="6"/>
        <v>0</v>
      </c>
      <c r="G27" s="463">
        <f t="shared" si="7"/>
        <v>1033.5759951548603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1033.5759951548603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57167.410049606406</v>
      </c>
      <c r="C31" s="473">
        <f t="shared" ca="1" si="18"/>
        <v>18037.157142857148</v>
      </c>
      <c r="D31" s="473">
        <f t="shared" ca="1" si="18"/>
        <v>64811.233542387861</v>
      </c>
      <c r="E31" s="473">
        <f t="shared" si="18"/>
        <v>3013.2335268571937</v>
      </c>
      <c r="F31" s="473">
        <f t="shared" ca="1" si="18"/>
        <v>22487.433446447965</v>
      </c>
      <c r="G31" s="473">
        <f t="shared" si="18"/>
        <v>145494.90521073123</v>
      </c>
      <c r="H31" s="473">
        <f t="shared" si="18"/>
        <v>16047.021893039582</v>
      </c>
      <c r="I31" s="473">
        <f t="shared" si="18"/>
        <v>0</v>
      </c>
      <c r="J31" s="473">
        <f t="shared" si="18"/>
        <v>3598.2527024182455</v>
      </c>
      <c r="K31" s="473">
        <f t="shared" si="18"/>
        <v>0</v>
      </c>
      <c r="L31" s="473">
        <f t="shared" ca="1" si="18"/>
        <v>0</v>
      </c>
      <c r="M31" s="473">
        <f t="shared" si="18"/>
        <v>0</v>
      </c>
      <c r="N31" s="473">
        <f t="shared" ca="1" si="18"/>
        <v>0</v>
      </c>
      <c r="O31" s="473">
        <f t="shared" si="18"/>
        <v>0</v>
      </c>
      <c r="P31" s="474">
        <f t="shared" si="18"/>
        <v>0</v>
      </c>
      <c r="Q31" s="474">
        <f t="shared" ca="1" si="18"/>
        <v>330656.64751434565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0.16048070696690989</v>
      </c>
      <c r="C17" s="513">
        <f ca="1">'EF ele_warmte'!B22</f>
        <v>0.16481352759540965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0.16048070696690989</v>
      </c>
      <c r="C17" s="513">
        <f ca="1">'EF ele_warmte'!B22</f>
        <v>0.16481352759540965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0.16048070696690989</v>
      </c>
      <c r="C29" s="514">
        <f ca="1">'EF ele_warmte'!B22</f>
        <v>0.16481352759540965</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2018-06-27T09:32:26Z</dcterms:modified>
</cp:coreProperties>
</file>