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D8" i="17"/>
  <c r="C13" i="15"/>
  <c r="C16" s="1"/>
  <c r="D10" i="14" s="1"/>
  <c r="L6" i="17"/>
  <c r="L5" s="1"/>
  <c r="B8" i="9"/>
  <c r="I14" i="15"/>
  <c r="I16" s="1"/>
  <c r="J10" i="14" s="1"/>
  <c r="J15" s="1"/>
  <c r="B13" i="16"/>
  <c r="C35"/>
  <c r="E9" i="14"/>
  <c r="D14" i="15"/>
  <c r="P22" i="16"/>
  <c r="Q39" i="14" s="1"/>
  <c r="P18" i="16"/>
  <c r="L16"/>
  <c r="L1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13" i="48" l="1"/>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N7"/>
  <c r="N24" s="1"/>
  <c r="E13" i="14"/>
  <c r="E12" i="17"/>
  <c r="F48" i="14"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D31" s="1"/>
  <c r="J67" i="14"/>
  <c r="I9" i="18"/>
  <c r="G58" i="22"/>
  <c r="H44" i="14" s="1"/>
  <c r="G10" i="48"/>
  <c r="G9"/>
  <c r="R18" i="14"/>
  <c r="R17"/>
  <c r="Q13" i="48"/>
  <c r="I19" i="14"/>
  <c r="I20" s="1"/>
  <c r="I23" s="1"/>
  <c r="M18" i="22"/>
  <c r="N45" i="14" s="1"/>
  <c r="N46" s="1"/>
  <c r="N53" s="1"/>
  <c r="M9" i="48"/>
  <c r="N19" i="14"/>
  <c r="P14" i="48"/>
  <c r="F10" i="14"/>
  <c r="B8" i="4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O31"/>
  <c r="E5"/>
  <c r="E22" s="1"/>
  <c r="E15" i="14"/>
  <c r="E23"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Q4" i="48"/>
  <c r="N22"/>
  <c r="R11" i="14"/>
  <c r="J21" i="48"/>
  <c r="R10" i="14"/>
  <c r="C29" i="20" l="1"/>
  <c r="C17" i="19"/>
  <c r="C19" s="1"/>
  <c r="D35" i="14" s="1"/>
  <c r="C20" i="16"/>
  <c r="C22" s="1"/>
  <c r="D39" i="14" s="1"/>
  <c r="C18" i="15"/>
  <c r="C20" s="1"/>
  <c r="D36" i="14" s="1"/>
  <c r="C10" i="13"/>
  <c r="C16" i="48" s="1"/>
  <c r="C30" s="1"/>
  <c r="C16" i="22"/>
  <c r="C10" i="17"/>
  <c r="C12" s="1"/>
  <c r="D48" i="14" s="1"/>
  <c r="C56" i="22"/>
  <c r="C58" s="1"/>
  <c r="D44" i="14" s="1"/>
  <c r="D46" s="1"/>
  <c r="C17" i="49"/>
  <c r="Q5" i="48"/>
  <c r="F8"/>
  <c r="Q8" s="1"/>
  <c r="Q14" s="1"/>
  <c r="N25"/>
  <c r="N31" s="1"/>
  <c r="N14"/>
  <c r="E25"/>
  <c r="E31" s="1"/>
  <c r="E14"/>
  <c r="H55" i="14"/>
  <c r="E55"/>
  <c r="C78"/>
  <c r="C81" s="1"/>
  <c r="J14" i="48"/>
  <c r="J31"/>
  <c r="R19" i="14"/>
  <c r="R20" s="1"/>
  <c r="H14" i="48"/>
  <c r="G31"/>
  <c r="H26"/>
  <c r="H31" s="1"/>
  <c r="F55" i="14"/>
  <c r="O53"/>
  <c r="G53"/>
  <c r="G55" s="1"/>
  <c r="O69" s="1"/>
  <c r="B9" i="6" s="1"/>
  <c r="B12" s="1"/>
  <c r="M53" i="14"/>
  <c r="M55" s="1"/>
  <c r="C24" i="48"/>
  <c r="C27"/>
  <c r="C28"/>
  <c r="C22"/>
  <c r="C25"/>
  <c r="K55" i="14"/>
  <c r="R13"/>
  <c r="R15" s="1"/>
  <c r="F25" i="48"/>
  <c r="F31" s="1"/>
  <c r="F14"/>
  <c r="C29" l="1"/>
  <c r="C31" s="1"/>
  <c r="C21"/>
  <c r="C12" i="13"/>
  <c r="D37" i="14" s="1"/>
  <c r="D41"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<sst xmlns="http://schemas.openxmlformats.org/spreadsheetml/2006/main" count="1970" uniqueCount="846">
  <si>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</si>
  <si>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</si>
  <si>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</si>
  <si>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</si>
  <si>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</si>
  <si>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</si>
  <si>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</si>
  <si>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</si>
  <si>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</si>
  <si>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</si>
  <si>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</si>
  <si>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</si>
  <si>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</si>
  <si>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</si>
  <si>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</si>
  <si>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</si>
  <si>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</si>
  <si>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</si>
  <si>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</si>
  <si>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</si>
  <si>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</si>
  <si>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</si>
  <si>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</si>
  <si>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</si>
  <si>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</si>
  <si>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</si>
  <si>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</si>
  <si>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</si>
  <si>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</si>
  <si>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</si>
  <si>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</si>
  <si>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</si>
  <si>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</si>
  <si>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</si>
  <si>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</si>
  <si>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</si>
  <si>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</si>
  <si>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</si>
  <si>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</si>
  <si>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</si>
  <si>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</si>
  <si>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</si>
  <si>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</si>
  <si>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</si>
  <si>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</si>
  <si>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</si>
  <si>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</si>
  <si>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</si>
  <si>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</si>
  <si>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</si>
  <si>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</si>
  <si>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</si>
  <si>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</si>
  <si>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</si>
  <si>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</si>
  <si>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</si>
  <si>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</si>
  <si>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</si>
  <si>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</si>
  <si>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</si>
  <si>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</si>
  <si>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</si>
  <si>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</si>
  <si>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</si>
  <si>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</si>
  <si>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</si>
  <si>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</si>
  <si>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</si>
  <si>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</si>
  <si>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</si>
  <si>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</si>
  <si>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</si>
  <si>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</si>
  <si>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</si>
  <si>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</si>
  <si>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</si>
  <si>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</si>
  <si>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</si>
  <si>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</si>
  <si>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</si>
  <si>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</si>
  <si>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</si>
  <si>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</si>
  <si>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</si>
  <si>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</si>
  <si>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</si>
  <si>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</si>
  <si>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</si>
  <si>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</si>
  <si>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</si>
  <si>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</si>
  <si>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</si>
  <si>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</si>
  <si>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</si>
  <si>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</si>
  <si>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</si>
  <si>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</si>
  <si>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</si>
  <si>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</si>
  <si>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</si>
  <si>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</si>
  <si>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</si>
  <si>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</si>
  <si>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</si>
  <si>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</si>
  <si>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</si>
  <si>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</si>
  <si>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</si>
  <si>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</si>
  <si>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</si>
  <si>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</si>
  <si>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</si>
  <si>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</si>
  <si>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</si>
  <si>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</si>
  <si>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</si>
  <si>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</si>
  <si>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</si>
  <si>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</si>
  <si>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</si>
  <si>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</si>
  <si>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</si>
  <si>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</si>
  <si>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</si>
  <si>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</si>
  <si>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</si>
  <si>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</si>
  <si>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</si>
  <si>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</si>
  <si>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</si>
  <si>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</si>
  <si>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</si>
  <si>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</si>
  <si>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</si>
  <si>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</si>
  <si>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</si>
  <si>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</si>
  <si>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</si>
  <si>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</si>
  <si>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</si>
  <si>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</si>
  <si>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</si>
  <si>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</si>
  <si>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</si>
  <si>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</si>
  <si>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</si>
  <si>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</si>
  <si>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</si>
  <si>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</si>
  <si>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</si>
  <si>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</si>
  <si>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</si>
  <si>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</si>
  <si>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</si>
  <si>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</si>
  <si>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</si>
  <si>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</si>
  <si>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</si>
  <si>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</si>
  <si>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</si>
  <si>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</si>
  <si>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</si>
  <si>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</si>
  <si>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</si>
  <si>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</si>
  <si>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</si>
  <si>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</si>
  <si>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</si>
  <si>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</si>
  <si>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</si>
  <si>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</si>
  <si>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</si>
  <si>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</si>
  <si>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</si>
  <si>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</si>
  <si>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</si>
  <si>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</si>
  <si>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</si>
  <si>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</si>
  <si>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</si>
  <si>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</si>
  <si>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</si>
  <si>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</si>
  <si>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</si>
  <si>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</si>
  <si>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</si>
  <si>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</si>
  <si>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</si>
  <si>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</si>
  <si>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</si>
  <si>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</si>
  <si>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</si>
  <si>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</si>
  <si>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</si>
  <si>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</si>
  <si>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</si>
  <si>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</si>
  <si>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</si>
  <si>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</si>
  <si>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</si>
  <si>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</si>
  <si>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</si>
  <si>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</si>
  <si>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</si>
  <si>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</si>
  <si>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</si>
  <si>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</si>
  <si>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</si>
  <si>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</si>
  <si>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</si>
  <si>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</si>
  <si>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</si>
  <si>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</si>
  <si>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</si>
  <si>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</si>
  <si>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</si>
  <si>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</si>
  <si>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</si>
  <si>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</si>
  <si>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</si>
  <si>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</si>
  <si>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</si>
  <si>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</si>
  <si>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</si>
  <si>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</si>
  <si>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</si>
  <si>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</si>
  <si>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</si>
  <si>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</si>
  <si>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</si>
  <si>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</si>
  <si>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</si>
  <si>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</si>
  <si>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</si>
  <si>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</si>
  <si>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</si>
  <si>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</si>
  <si>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</si>
  <si>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</si>
  <si>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</si>
  <si>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</si>
  <si>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</si>
  <si>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</si>
  <si>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</si>
  <si>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</si>
  <si>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</si>
  <si>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</si>
  <si>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</si>
  <si>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</si>
  <si>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</si>
  <si>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</si>
  <si>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</si>
  <si>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</si>
  <si>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</si>
  <si>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</si>
  <si>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</si>
  <si>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</si>
  <si>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</si>
  <si>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</si>
  <si>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</si>
  <si>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</si>
  <si>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</si>
  <si>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</si>
  <si>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</si>
  <si>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</si>
  <si>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</si>
  <si>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</si>
  <si>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</si>
  <si>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</si>
  <si>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</si>
  <si>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</si>
  <si>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</si>
  <si>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</si>
  <si>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</si>
  <si>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</si>
  <si>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</si>
  <si>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</si>
  <si>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</si>
  <si>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</si>
  <si>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</si>
  <si>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</si>
  <si>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</si>
  <si>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</si>
  <si>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</si>
  <si>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</si>
  <si>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</si>
  <si>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</si>
  <si>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</si>
  <si>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</si>
  <si>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</si>
  <si>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</si>
  <si>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</si>
  <si>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</si>
  <si>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</si>
  <si>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</si>
  <si>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</si>
  <si>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</si>
  <si>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</si>
  <si>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</si>
  <si>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</si>
  <si>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</si>
  <si>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</si>
  <si>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</si>
  <si>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</si>
  <si>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</si>
  <si>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</si>
  <si>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</si>
  <si>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</si>
  <si>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</si>
  <si>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</si>
  <si>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</si>
  <si>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</si>
  <si>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</si>
  <si>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</si>
  <si>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</si>
  <si>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</si>
  <si>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</si>
  <si>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</si>
  <si>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</si>
  <si>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</si>
  <si>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</si>
  <si>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</si>
  <si>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</si>
  <si>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</si>
  <si>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</si>
  <si>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</si>
  <si>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</si>
  <si>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</si>
  <si>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</si>
  <si>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</si>
  <si>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</si>
  <si>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</si>
  <si>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</si>
  <si>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</si>
  <si>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</si>
  <si>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</si>
  <si>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</si>
  <si>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</si>
  <si>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</si>
  <si>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</si>
  <si>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</si>
  <si>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</si>
  <si>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</si>
  <si>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</si>
  <si>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</si>
  <si>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</si>
  <si>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</si>
  <si>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</si>
  <si>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</si>
  <si>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</si>
  <si>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</si>
  <si>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</si>
  <si>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</si>
  <si>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</si>
  <si>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</si>
  <si>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</si>
  <si>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</si>
  <si>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</si>
  <si>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</si>
  <si>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</si>
  <si>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</si>
  <si>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</si>
  <si>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</si>
  <si>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</si>
  <si>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</si>
  <si>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</si>
  <si>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</si>
  <si>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</si>
  <si>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</si>
  <si>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</si>
  <si>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</si>
  <si>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</si>
  <si>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</si>
  <si>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</si>
  <si>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</si>
  <si>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</si>
  <si>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</si>
  <si>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</si>
  <si>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</si>
  <si>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</si>
  <si>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</si>
  <si>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</si>
  <si>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</si>
  <si>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</si>
  <si>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</si>
  <si>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</si>
  <si>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</si>
  <si>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</si>
  <si>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</si>
  <si>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</si>
  <si>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</si>
  <si>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</si>
  <si>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</si>
  <si>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</si>
  <si>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</si>
  <si>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</si>
  <si>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</si>
  <si>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</si>
  <si>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</si>
  <si>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</si>
  <si>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</si>
  <si>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</si>
  <si>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</si>
  <si>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</si>
  <si>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</si>
  <si>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</si>
  <si>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</si>
  <si>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</si>
  <si>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</si>
  <si>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</si>
  <si>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</si>
  <si>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</si>
  <si>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</si>
  <si>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</si>
  <si>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</si>
  <si>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</si>
  <si>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</si>
  <si>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</si>
  <si>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</si>
  <si>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</si>
  <si>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</si>
  <si>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</si>
  <si>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</si>
  <si>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</si>
  <si>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</si>
  <si>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</si>
  <si>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</si>
  <si>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</si>
  <si>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</si>
  <si>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</si>
  <si>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</si>
  <si>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</si>
  <si>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</si>
  <si>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</si>
  <si>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</si>
  <si>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</si>
  <si>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</si>
  <si>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</si>
  <si>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</si>
  <si>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</si>
  <si>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</si>
  <si>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</si>
  <si>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</si>
  <si>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</si>
  <si>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</si>
  <si>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</si>
  <si>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</si>
  <si>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</si>
  <si>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</si>
  <si>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</si>
  <si>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</si>
  <si>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</si>
  <si>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</si>
  <si>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</si>
  <si>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</si>
  <si>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</si>
  <si>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</si>
  <si>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</si>
  <si>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</si>
  <si>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</si>
  <si>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</si>
  <si>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</si>
  <si>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</si>
  <si>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</si>
  <si>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</si>
  <si>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</si>
  <si>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</si>
  <si>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</si>
  <si>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</si>
  <si>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</si>
  <si>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</si>
  <si>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</si>
  <si>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</si>
  <si>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</si>
  <si>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</si>
  <si>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</si>
  <si>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</si>
  <si>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</si>
  <si>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</si>
  <si>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</si>
  <si>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</si>
  <si>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</si>
  <si>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</si>
  <si>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</si>
  <si>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</si>
  <si>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</si>
  <si>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</si>
  <si>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</si>
  <si>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</si>
  <si>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</si>
  <si>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</si>
  <si>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</si>
  <si>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</si>
  <si>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</si>
  <si>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</si>
  <si>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</si>
  <si>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</si>
  <si>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</si>
  <si>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</si>
  <si>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</si>
  <si>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</si>
  <si>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</si>
  <si>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</si>
  <si>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</si>
  <si>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</si>
  <si>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</si>
  <si>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</si>
  <si>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</si>
  <si>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</si>
  <si>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</si>
  <si>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</si>
  <si>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</si>
  <si>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</si>
  <si>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</si>
  <si>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</si>
  <si>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</si>
  <si>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</si>
  <si>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</si>
  <si>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</si>
  <si>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</si>
  <si>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</si>
  <si>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</si>
  <si>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</si>
  <si>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</si>
  <si>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</si>
  <si>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</si>
  <si>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</si>
  <si>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</si>
  <si>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</si>
  <si>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</si>
  <si>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</si>
  <si>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</si>
  <si>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</si>
  <si>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</si>
  <si>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</si>
  <si>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</si>
  <si>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</si>
  <si>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</si>
  <si>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</si>
  <si>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</si>
  <si>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</si>
  <si>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</si>
  <si>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</si>
  <si>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</si>
  <si>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</si>
  <si>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</si>
  <si>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</si>
  <si>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</si>
  <si>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</si>
  <si>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</si>
  <si>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</si>
  <si>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</si>
  <si>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</si>
  <si>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</si>
  <si>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</si>
  <si>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</si>
  <si>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</si>
  <si>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</si>
  <si>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</si>
  <si>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</si>
  <si>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</si>
  <si>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</si>
  <si>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</si>
  <si>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</si>
  <si>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</si>
  <si>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</si>
  <si>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</si>
  <si>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</si>
  <si>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</si>
  <si>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</si>
  <si>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</si>
  <si>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</si>
  <si>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</si>
  <si>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</si>
  <si>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</si>
  <si>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</si>
  <si>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</si>
  <si>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</si>
  <si>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</si>
  <si>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</si>
  <si>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</si>
  <si>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</si>
  <si>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</si>
  <si>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</si>
  <si>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</si>
  <si>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</si>
  <si>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</si>
  <si>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</si>
  <si>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</si>
  <si>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</si>
  <si>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</si>
  <si>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</si>
  <si>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</si>
  <si>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</si>
  <si>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</si>
  <si>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</si>
  <si>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</si>
  <si>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</si>
  <si>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</si>
  <si>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</si>
  <si>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</si>
  <si>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</si>
  <si>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</si>
  <si>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</si>
  <si>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</si>
  <si>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</si>
  <si>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</si>
  <si>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</si>
  <si>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</si>
  <si>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</si>
  <si>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</si>
  <si>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</si>
  <si>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</si>
  <si>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</si>
  <si>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</si>
  <si>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</si>
  <si>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</si>
  <si>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</si>
  <si>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</si>
  <si>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</si>
  <si>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</si>
  <si>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</si>
  <si>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</si>
  <si>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</si>
  <si>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</si>
  <si>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</si>
  <si>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</si>
  <si>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</si>
  <si>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</si>
  <si>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</si>
  <si>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</si>
  <si>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</si>
  <si>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</si>
  <si>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</si>
  <si>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</si>
  <si>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</si>
  <si>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</si>
  <si>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</si>
  <si>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</si>
  <si>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</si>
  <si>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</si>
  <si>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</si>
  <si>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</si>
  <si>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</si>
  <si>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</si>
  <si>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</si>
  <si>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</si>
  <si>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</si>
  <si>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</si>
  <si>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</si>
  <si>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</si>
  <si>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</si>
  <si>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</si>
  <si>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</si>
  <si>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</si>
  <si>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</si>
  <si>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</si>
  <si>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</si>
  <si>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</si>
  <si>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</si>
  <si>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</si>
  <si>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</si>
  <si>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</si>
  <si>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</si>
  <si>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</si>
  <si>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</si>
  <si>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</si>
  <si>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</si>
  <si>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</si>
  <si>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</si>
  <si>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</si>
  <si>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</si>
  <si>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</si>
  <si>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</si>
  <si>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</si>
  <si>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</si>
  <si>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</si>
  <si>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</si>
  <si>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</si>
  <si>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</si>
  <si>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</si>
  <si>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</si>
  <si>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</si>
  <si>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</si>
  <si>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</si>
  <si>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</si>
  <si>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</si>
  <si>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</si>
  <si>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</si>
  <si>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</si>
  <si>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</si>
  <si>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</si>
  <si>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</si>
  <si>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</si>
  <si>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</si>
  <si>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</si>
  <si>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</si>
  <si>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</si>
  <si>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</si>
  <si>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</si>
  <si>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</si>
  <si>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</si>
  <si>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</si>
  <si>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</si>
  <si>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</si>
  <si>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</si>
  <si>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</si>
  <si>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</si>
  <si>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</si>
  <si>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</si>
  <si>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</si>
  <si>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</si>
  <si>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</si>
  <si>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</si>
  <si>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</si>
  <si>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</si>
  <si>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</si>
  <si>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</si>
  <si>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</si>
  <si>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</si>
  <si>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</si>
  <si>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</si>
  <si>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</si>
  <si>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</si>
  <si>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</si>
  <si>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</si>
  <si>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</si>
  <si>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</si>
  <si>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</si>
  <si>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</si>
  <si>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</si>
  <si>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</si>
  <si>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</si>
  <si>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</si>
  <si>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</si>
  <si>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</si>
  <si>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</si>
  <si>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</si>
  <si>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</si>
  <si>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</si>
  <si>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</si>
  <si>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</si>
  <si>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</si>
  <si>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</si>
  <si>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</si>
  <si>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</si>
  <si>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</si>
  <si>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</si>
  <si>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</si>
  <si>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</si>
  <si>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</si>
  <si>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</si>
  <si>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</si>
  <si>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</si>
  <si>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</si>
  <si>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</si>
  <si>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</si>
  <si>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</si>
  <si>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</si>
  <si>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</si>
  <si>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</si>
  <si>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</si>
  <si>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</si>
  <si>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</si>
  <si>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</si>
  <si>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</si>
  <si>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</si>
  <si>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</si>
  <si>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</si>
  <si>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</si>
  <si>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</si>
  <si>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</si>
  <si>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</si>
  <si>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</si>
  <si>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</si>
  <si>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</si>
  <si>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</si>
  <si>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</si>
  <si>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</si>
  <si>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</si>
  <si>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</si>
  <si>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</si>
  <si>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</si>
  <si>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</si>
  <si>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</si>
  <si>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</si>
  <si>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</si>
  <si>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</si>
  <si>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</si>
  <si>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</si>
  <si>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</si>
  <si>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</si>
  <si>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</si>
  <si>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</si>
  <si>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</si>
  <si>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</si>
  <si>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</si>
  <si>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</si>
  <si>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</si>
  <si>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</si>
  <si>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</si>
  <si>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</si>
  <si>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</si>
  <si>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</si>
  <si>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</si>
  <si>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</si>
  <si>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</si>
  <si>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</si>
  <si>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</si>
  <si>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</si>
  <si>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</si>
  <si>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</si>
  <si>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</si>
  <si>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</si>
  <si>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</si>
  <si>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</si>
  <si>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</si>
  <si>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</si>
  <si>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</si>
  <si>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</si>
  <si>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</si>
  <si>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</si>
  <si>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</si>
  <si>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</si>
  <si>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</si>
  <si>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</si>
  <si>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</si>
  <si>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</si>
  <si>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</si>
  <si>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</si>
  <si>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</si>
  <si>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</si>
  <si>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</si>
  <si>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45061</t>
  </si>
  <si>
    <t>WORTEGEM-PETEGEM</t>
  </si>
  <si>
    <t>Cultuurgrond (ha)</t>
  </si>
  <si>
    <t>Paarden&amp;pony's 200 - 600 kg</t>
  </si>
  <si>
    <t>Paarden&amp;pony's &lt; 200 kg</t>
  </si>
  <si>
    <t>op basis van VEA (maart 2018) en Inventaris Hernieuwbare Energiebronnen (juni 2018)</t>
  </si>
  <si>
    <t>VEA (juni 2018)</t>
  </si>
  <si>
    <t>Geert Van De Wege</t>
  </si>
  <si>
    <t>Peerdekouterstraat 9 , 9790 Wortegem-Petegem</t>
  </si>
  <si>
    <t>WKK-0464 Geert Van De Wege</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</si>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</sst>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64919.398072787604</c:v>
                </c:pt>
                <c:pt idx="1">
                  <c:v>8882.4143815135576</c:v>
                </c:pt>
                <c:pt idx="2">
                  <c:v>568.95799999999997</c:v>
                </c:pt>
                <c:pt idx="3">
                  <c:v>6502.3174492580247</c:v>
                </c:pt>
                <c:pt idx="4">
                  <c:v>8817.8609421959736</c:v>
                </c:pt>
                <c:pt idx="5">
                  <c:v>34869.391649896068</c:v>
                </c:pt>
                <c:pt idx="6">
                  <c:v>540.57805820369288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116352"/>
        <c:axId val="182117888"/>
      </c:barChart>
      <c:catAx>
        <c:axId val="182116352"/>
        <c:scaling>
          <c:orientation val="minMax"/>
        </c:scaling>
        <c:axPos val="b"/>
        <c:numFmt formatCode="General" sourceLinked="0"/>
        <c:tickLblPos val="nextTo"/>
        <c:crossAx val="182117888"/>
        <c:crosses val="autoZero"/>
        <c:auto val="1"/>
        <c:lblAlgn val="ctr"/>
        <c:lblOffset val="100"/>
      </c:catAx>
      <c:valAx>
        <c:axId val="182117888"/>
        <c:scaling>
          <c:orientation val="minMax"/>
        </c:scaling>
        <c:axPos val="l"/>
        <c:majorGridlines/>
        <c:numFmt formatCode="#,##0" sourceLinked="1"/>
        <c:tickLblPos val="nextTo"/>
        <c:crossAx val="1821163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64919.398072787604</c:v>
                </c:pt>
                <c:pt idx="1">
                  <c:v>8882.4143815135576</c:v>
                </c:pt>
                <c:pt idx="2">
                  <c:v>568.95799999999997</c:v>
                </c:pt>
                <c:pt idx="3">
                  <c:v>6502.3174492580247</c:v>
                </c:pt>
                <c:pt idx="4">
                  <c:v>8817.8609421959736</c:v>
                </c:pt>
                <c:pt idx="5">
                  <c:v>34869.391649896068</c:v>
                </c:pt>
                <c:pt idx="6">
                  <c:v>540.57805820369288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13657.106709326639</c:v>
                </c:pt>
                <c:pt idx="1">
                  <c:v>1758.2147458435761</c:v>
                </c:pt>
                <c:pt idx="2">
                  <c:v>110.79427046954882</c:v>
                </c:pt>
                <c:pt idx="3">
                  <c:v>1625.4968085066346</c:v>
                </c:pt>
                <c:pt idx="4">
                  <c:v>1659.1314951514544</c:v>
                </c:pt>
                <c:pt idx="5">
                  <c:v>8793.7103735120545</c:v>
                </c:pt>
                <c:pt idx="6">
                  <c:v>138.18874983700775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4432"/>
        <c:axId val="182440320"/>
      </c:barChart>
      <c:catAx>
        <c:axId val="182434432"/>
        <c:scaling>
          <c:orientation val="minMax"/>
        </c:scaling>
        <c:axPos val="b"/>
        <c:numFmt formatCode="General" sourceLinked="0"/>
        <c:tickLblPos val="nextTo"/>
        <c:crossAx val="182440320"/>
        <c:crosses val="autoZero"/>
        <c:auto val="1"/>
        <c:lblAlgn val="ctr"/>
        <c:lblOffset val="100"/>
      </c:catAx>
      <c:valAx>
        <c:axId val="182440320"/>
        <c:scaling>
          <c:orientation val="minMax"/>
        </c:scaling>
        <c:axPos val="l"/>
        <c:majorGridlines/>
        <c:numFmt formatCode="#,##0" sourceLinked="1"/>
        <c:tickLblPos val="nextTo"/>
        <c:crossAx val="1824344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13657.106709326639</c:v>
                </c:pt>
                <c:pt idx="1">
                  <c:v>1758.2147458435761</c:v>
                </c:pt>
                <c:pt idx="2">
                  <c:v>110.79427046954882</c:v>
                </c:pt>
                <c:pt idx="3">
                  <c:v>1625.4968085066346</c:v>
                </c:pt>
                <c:pt idx="4">
                  <c:v>1659.1314951514544</c:v>
                </c:pt>
                <c:pt idx="5">
                  <c:v>8793.7103735120545</c:v>
                </c:pt>
                <c:pt idx="6">
                  <c:v>138.18874983700775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45061</v>
      </c>
      <c r="B6" s="398"/>
      <c r="C6" s="399"/>
    </row>
    <row r="7" spans="1:7" s="396" customFormat="1" ht="15.75" customHeight="1">
      <c r="A7" s="400" t="str">
        <f>txtMunicipality</f>
        <v>WORTEGEM-PETEGEM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6637.8709965515418</v>
      </c>
      <c r="D10" s="704">
        <f ca="1">tertiair!C16</f>
        <v>0</v>
      </c>
      <c r="E10" s="704">
        <f ca="1">tertiair!D16</f>
        <v>1203.3005161127376</v>
      </c>
      <c r="F10" s="704">
        <f>tertiair!E16</f>
        <v>84.875261542854076</v>
      </c>
      <c r="G10" s="704">
        <f ca="1">tertiair!F16</f>
        <v>1176.2937027432133</v>
      </c>
      <c r="H10" s="704">
        <f>tertiair!G16</f>
        <v>0</v>
      </c>
      <c r="I10" s="704">
        <f>tertiair!H16</f>
        <v>0</v>
      </c>
      <c r="J10" s="704">
        <f>tertiair!I16</f>
        <v>0</v>
      </c>
      <c r="K10" s="704">
        <f>tertiair!J16</f>
        <v>0</v>
      </c>
      <c r="L10" s="704">
        <f>tertiair!K16</f>
        <v>0</v>
      </c>
      <c r="M10" s="704">
        <f ca="1">tertiair!L16</f>
        <v>0</v>
      </c>
      <c r="N10" s="704">
        <f>tertiair!M16</f>
        <v>0</v>
      </c>
      <c r="O10" s="704">
        <f ca="1">tertiair!N16</f>
        <v>329.96523789654344</v>
      </c>
      <c r="P10" s="704">
        <f>tertiair!O16</f>
        <v>0</v>
      </c>
      <c r="Q10" s="705">
        <f>tertiair!P16</f>
        <v>19.066666666666666</v>
      </c>
      <c r="R10" s="707">
        <f ca="1">SUM(C10:Q10)</f>
        <v>9451.3723815135581</v>
      </c>
      <c r="S10" s="67"/>
    </row>
    <row r="11" spans="1:19" s="459" customFormat="1">
      <c r="A11" s="858" t="s">
        <v>225</v>
      </c>
      <c r="B11" s="863"/>
      <c r="C11" s="704">
        <f>huishoudens!B8</f>
        <v>12812.482921914587</v>
      </c>
      <c r="D11" s="704">
        <f>huishoudens!C8</f>
        <v>0</v>
      </c>
      <c r="E11" s="704">
        <f>huishoudens!D8</f>
        <v>9081.7501428536689</v>
      </c>
      <c r="F11" s="704">
        <f>huishoudens!E8</f>
        <v>2948.1401176540262</v>
      </c>
      <c r="G11" s="704">
        <f>huishoudens!F8</f>
        <v>27314.887033079944</v>
      </c>
      <c r="H11" s="704">
        <f>huishoudens!G8</f>
        <v>0</v>
      </c>
      <c r="I11" s="704">
        <f>huishoudens!H8</f>
        <v>0</v>
      </c>
      <c r="J11" s="704">
        <f>huishoudens!I8</f>
        <v>0</v>
      </c>
      <c r="K11" s="704">
        <f>huishoudens!J8</f>
        <v>3856.7554672439996</v>
      </c>
      <c r="L11" s="704">
        <f>huishoudens!K8</f>
        <v>0</v>
      </c>
      <c r="M11" s="704">
        <f>huishoudens!L8</f>
        <v>0</v>
      </c>
      <c r="N11" s="704">
        <f>huishoudens!M8</f>
        <v>0</v>
      </c>
      <c r="O11" s="704">
        <f>huishoudens!N8</f>
        <v>8289.2723900413821</v>
      </c>
      <c r="P11" s="704">
        <f>huishoudens!O8</f>
        <v>120.37666666666668</v>
      </c>
      <c r="Q11" s="705">
        <f>huishoudens!P8</f>
        <v>495.73333333333335</v>
      </c>
      <c r="R11" s="707">
        <f>SUM(C11:Q11)</f>
        <v>64919.398072787604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4570.4503854132599</v>
      </c>
      <c r="D13" s="704">
        <f>industrie!C18</f>
        <v>0</v>
      </c>
      <c r="E13" s="704">
        <f>industrie!D18</f>
        <v>352.2298973457805</v>
      </c>
      <c r="F13" s="704">
        <f>industrie!E18</f>
        <v>715.29180108208755</v>
      </c>
      <c r="G13" s="704">
        <f>industrie!F18</f>
        <v>1997.7305760787324</v>
      </c>
      <c r="H13" s="704">
        <f>industrie!G18</f>
        <v>0</v>
      </c>
      <c r="I13" s="704">
        <f>industrie!H18</f>
        <v>0</v>
      </c>
      <c r="J13" s="704">
        <f>industrie!I18</f>
        <v>0</v>
      </c>
      <c r="K13" s="704">
        <f>industrie!J18</f>
        <v>6.2239576534796663</v>
      </c>
      <c r="L13" s="704">
        <f>industrie!K18</f>
        <v>0</v>
      </c>
      <c r="M13" s="704">
        <f>industrie!L18</f>
        <v>0</v>
      </c>
      <c r="N13" s="704">
        <f>industrie!M18</f>
        <v>0</v>
      </c>
      <c r="O13" s="704">
        <f>industrie!N18</f>
        <v>1175.9343246226351</v>
      </c>
      <c r="P13" s="704">
        <f>industrie!O18</f>
        <v>0</v>
      </c>
      <c r="Q13" s="705">
        <f>industrie!P18</f>
        <v>0</v>
      </c>
      <c r="R13" s="707">
        <f>SUM(C13:Q13)</f>
        <v>8817.8609421959736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24020.804303879388</v>
      </c>
      <c r="D15" s="709">
        <f t="shared" ref="D15:Q15" ca="1" si="0">SUM(D9:D14)</f>
        <v>0</v>
      </c>
      <c r="E15" s="709">
        <f t="shared" ca="1" si="0"/>
        <v>10637.280556312187</v>
      </c>
      <c r="F15" s="709">
        <f t="shared" si="0"/>
        <v>3748.3071802789677</v>
      </c>
      <c r="G15" s="709">
        <f t="shared" ca="1" si="0"/>
        <v>30488.911311901888</v>
      </c>
      <c r="H15" s="709">
        <f t="shared" si="0"/>
        <v>0</v>
      </c>
      <c r="I15" s="709">
        <f t="shared" si="0"/>
        <v>0</v>
      </c>
      <c r="J15" s="709">
        <f t="shared" si="0"/>
        <v>0</v>
      </c>
      <c r="K15" s="709">
        <f t="shared" si="0"/>
        <v>3862.9794248974795</v>
      </c>
      <c r="L15" s="709">
        <f t="shared" si="0"/>
        <v>0</v>
      </c>
      <c r="M15" s="709">
        <f t="shared" ca="1" si="0"/>
        <v>0</v>
      </c>
      <c r="N15" s="709">
        <f t="shared" si="0"/>
        <v>0</v>
      </c>
      <c r="O15" s="709">
        <f t="shared" ca="1" si="0"/>
        <v>9795.1719525605604</v>
      </c>
      <c r="P15" s="709">
        <f t="shared" si="0"/>
        <v>120.37666666666668</v>
      </c>
      <c r="Q15" s="710">
        <f t="shared" si="0"/>
        <v>514.80000000000007</v>
      </c>
      <c r="R15" s="711">
        <f ca="1">SUM(R9:R14)</f>
        <v>83188.631396497134</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517.56086081276305</v>
      </c>
      <c r="I18" s="704">
        <f>transport!H54</f>
        <v>0</v>
      </c>
      <c r="J18" s="704">
        <f>transport!I54</f>
        <v>0</v>
      </c>
      <c r="K18" s="704">
        <f>transport!J54</f>
        <v>0</v>
      </c>
      <c r="L18" s="704">
        <f>transport!K54</f>
        <v>0</v>
      </c>
      <c r="M18" s="704">
        <f>transport!L54</f>
        <v>0</v>
      </c>
      <c r="N18" s="704">
        <f>transport!M54</f>
        <v>23.017197390929848</v>
      </c>
      <c r="O18" s="704">
        <f>transport!N54</f>
        <v>0</v>
      </c>
      <c r="P18" s="704">
        <f>transport!O54</f>
        <v>0</v>
      </c>
      <c r="Q18" s="705">
        <f>transport!P54</f>
        <v>0</v>
      </c>
      <c r="R18" s="707">
        <f>SUM(C18:Q18)</f>
        <v>540.57805820369288</v>
      </c>
      <c r="S18" s="67"/>
    </row>
    <row r="19" spans="1:19" s="459" customFormat="1" ht="15" thickBot="1">
      <c r="A19" s="858" t="s">
        <v>307</v>
      </c>
      <c r="B19" s="863"/>
      <c r="C19" s="713">
        <f>transport!B14</f>
        <v>2.062238804375693</v>
      </c>
      <c r="D19" s="713">
        <f>transport!C14</f>
        <v>0</v>
      </c>
      <c r="E19" s="713">
        <f>transport!D14</f>
        <v>4.295737224996917</v>
      </c>
      <c r="F19" s="713">
        <f>transport!E14</f>
        <v>127.14377549225115</v>
      </c>
      <c r="G19" s="713">
        <f>transport!F14</f>
        <v>0</v>
      </c>
      <c r="H19" s="713">
        <f>transport!G14</f>
        <v>26900.047019912188</v>
      </c>
      <c r="I19" s="713">
        <f>transport!H14</f>
        <v>6350.4693155242276</v>
      </c>
      <c r="J19" s="713">
        <f>transport!I14</f>
        <v>0</v>
      </c>
      <c r="K19" s="713">
        <f>transport!J14</f>
        <v>0</v>
      </c>
      <c r="L19" s="713">
        <f>transport!K14</f>
        <v>0</v>
      </c>
      <c r="M19" s="713">
        <f>transport!L14</f>
        <v>0</v>
      </c>
      <c r="N19" s="713">
        <f>transport!M14</f>
        <v>1485.3735629380337</v>
      </c>
      <c r="O19" s="713">
        <f>transport!N14</f>
        <v>0</v>
      </c>
      <c r="P19" s="713">
        <f>transport!O14</f>
        <v>0</v>
      </c>
      <c r="Q19" s="714">
        <f>transport!P14</f>
        <v>0</v>
      </c>
      <c r="R19" s="715">
        <f>SUM(C19:Q19)</f>
        <v>34869.391649896068</v>
      </c>
      <c r="S19" s="67"/>
    </row>
    <row r="20" spans="1:19" s="459" customFormat="1" ht="15.75" thickBot="1">
      <c r="A20" s="716" t="s">
        <v>230</v>
      </c>
      <c r="B20" s="866"/>
      <c r="C20" s="861">
        <f>SUM(C17:C19)</f>
        <v>2.062238804375693</v>
      </c>
      <c r="D20" s="717">
        <f t="shared" ref="D20:R20" si="1">SUM(D17:D19)</f>
        <v>0</v>
      </c>
      <c r="E20" s="717">
        <f t="shared" si="1"/>
        <v>4.295737224996917</v>
      </c>
      <c r="F20" s="717">
        <f t="shared" si="1"/>
        <v>127.14377549225115</v>
      </c>
      <c r="G20" s="717">
        <f t="shared" si="1"/>
        <v>0</v>
      </c>
      <c r="H20" s="717">
        <f t="shared" si="1"/>
        <v>27417.607880724951</v>
      </c>
      <c r="I20" s="717">
        <f t="shared" si="1"/>
        <v>6350.4693155242276</v>
      </c>
      <c r="J20" s="717">
        <f t="shared" si="1"/>
        <v>0</v>
      </c>
      <c r="K20" s="717">
        <f t="shared" si="1"/>
        <v>0</v>
      </c>
      <c r="L20" s="717">
        <f t="shared" si="1"/>
        <v>0</v>
      </c>
      <c r="M20" s="717">
        <f t="shared" si="1"/>
        <v>0</v>
      </c>
      <c r="N20" s="717">
        <f t="shared" si="1"/>
        <v>1508.3907603289636</v>
      </c>
      <c r="O20" s="717">
        <f t="shared" si="1"/>
        <v>0</v>
      </c>
      <c r="P20" s="717">
        <f t="shared" si="1"/>
        <v>0</v>
      </c>
      <c r="Q20" s="718">
        <f t="shared" si="1"/>
        <v>0</v>
      </c>
      <c r="R20" s="719">
        <f t="shared" si="1"/>
        <v>35409.969708099758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1351.6331716395844</v>
      </c>
      <c r="D22" s="713">
        <f>+landbouw!C8</f>
        <v>62.357142857142847</v>
      </c>
      <c r="E22" s="713">
        <f>+landbouw!D8</f>
        <v>204.55150485160465</v>
      </c>
      <c r="F22" s="713">
        <f>+landbouw!E8</f>
        <v>17.032319220217325</v>
      </c>
      <c r="G22" s="713">
        <f>+landbouw!F8</f>
        <v>4663.4730464985014</v>
      </c>
      <c r="H22" s="713">
        <f>+landbouw!G8</f>
        <v>0</v>
      </c>
      <c r="I22" s="713">
        <f>+landbouw!H8</f>
        <v>0</v>
      </c>
      <c r="J22" s="713">
        <f>+landbouw!I8</f>
        <v>0</v>
      </c>
      <c r="K22" s="713">
        <f>+landbouw!J8</f>
        <v>203.27026419097339</v>
      </c>
      <c r="L22" s="713">
        <f>+landbouw!K8</f>
        <v>0</v>
      </c>
      <c r="M22" s="713">
        <f>+landbouw!L8</f>
        <v>0</v>
      </c>
      <c r="N22" s="713">
        <f>+landbouw!M8</f>
        <v>0</v>
      </c>
      <c r="O22" s="713">
        <f>+landbouw!N8</f>
        <v>0</v>
      </c>
      <c r="P22" s="713">
        <f>+landbouw!O8</f>
        <v>0</v>
      </c>
      <c r="Q22" s="714">
        <f>+landbouw!P8</f>
        <v>0</v>
      </c>
      <c r="R22" s="715">
        <f>SUM(C22:Q22)</f>
        <v>6502.3174492580247</v>
      </c>
      <c r="S22" s="67"/>
    </row>
    <row r="23" spans="1:19" s="459" customFormat="1" ht="17.25" thickTop="1" thickBot="1">
      <c r="A23" s="720" t="s">
        <v>116</v>
      </c>
      <c r="B23" s="852"/>
      <c r="C23" s="721">
        <f ca="1">C20+C15+C22</f>
        <v>25374.499714323345</v>
      </c>
      <c r="D23" s="721">
        <f t="shared" ref="D23:Q23" ca="1" si="2">D20+D15+D22</f>
        <v>62.357142857142847</v>
      </c>
      <c r="E23" s="721">
        <f t="shared" ca="1" si="2"/>
        <v>10846.127798388789</v>
      </c>
      <c r="F23" s="721">
        <f t="shared" si="2"/>
        <v>3892.4832749914362</v>
      </c>
      <c r="G23" s="721">
        <f t="shared" ca="1" si="2"/>
        <v>35152.384358400392</v>
      </c>
      <c r="H23" s="721">
        <f t="shared" si="2"/>
        <v>27417.607880724951</v>
      </c>
      <c r="I23" s="721">
        <f t="shared" si="2"/>
        <v>6350.4693155242276</v>
      </c>
      <c r="J23" s="721">
        <f t="shared" si="2"/>
        <v>0</v>
      </c>
      <c r="K23" s="721">
        <f t="shared" si="2"/>
        <v>4066.2496890884527</v>
      </c>
      <c r="L23" s="721">
        <f t="shared" si="2"/>
        <v>0</v>
      </c>
      <c r="M23" s="721">
        <f t="shared" ca="1" si="2"/>
        <v>0</v>
      </c>
      <c r="N23" s="721">
        <f t="shared" si="2"/>
        <v>1508.3907603289636</v>
      </c>
      <c r="O23" s="721">
        <f t="shared" ca="1" si="2"/>
        <v>9795.1719525605604</v>
      </c>
      <c r="P23" s="721">
        <f t="shared" si="2"/>
        <v>120.37666666666668</v>
      </c>
      <c r="Q23" s="722">
        <f t="shared" si="2"/>
        <v>514.80000000000007</v>
      </c>
      <c r="R23" s="723">
        <f ca="1">R20+R15+R22</f>
        <v>125100.91855385492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1292.6052090556861</v>
      </c>
      <c r="D36" s="704">
        <f ca="1">tertiair!C20</f>
        <v>0</v>
      </c>
      <c r="E36" s="704">
        <f ca="1">tertiair!D20</f>
        <v>243.06670425477301</v>
      </c>
      <c r="F36" s="704">
        <f>tertiair!E20</f>
        <v>19.266684370227875</v>
      </c>
      <c r="G36" s="704">
        <f ca="1">tertiair!F20</f>
        <v>314.07041863243796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1869.0090163131249</v>
      </c>
    </row>
    <row r="37" spans="1:18">
      <c r="A37" s="873" t="s">
        <v>225</v>
      </c>
      <c r="B37" s="880"/>
      <c r="C37" s="704">
        <f ca="1">huishoudens!B12</f>
        <v>2494.999100526014</v>
      </c>
      <c r="D37" s="704">
        <f ca="1">huishoudens!C12</f>
        <v>0</v>
      </c>
      <c r="E37" s="704">
        <f>huishoudens!D12</f>
        <v>1834.5135288564413</v>
      </c>
      <c r="F37" s="704">
        <f>huishoudens!E12</f>
        <v>669.22780670746397</v>
      </c>
      <c r="G37" s="704">
        <f>huishoudens!F12</f>
        <v>7293.0748378323451</v>
      </c>
      <c r="H37" s="704">
        <f>huishoudens!G12</f>
        <v>0</v>
      </c>
      <c r="I37" s="704">
        <f>huishoudens!H12</f>
        <v>0</v>
      </c>
      <c r="J37" s="704">
        <f>huishoudens!I12</f>
        <v>0</v>
      </c>
      <c r="K37" s="704">
        <f>huishoudens!J12</f>
        <v>1365.2914354043758</v>
      </c>
      <c r="L37" s="704">
        <f>huishoudens!K12</f>
        <v>0</v>
      </c>
      <c r="M37" s="704">
        <f>huishoudens!L12</f>
        <v>0</v>
      </c>
      <c r="N37" s="704">
        <f>huishoudens!M12</f>
        <v>0</v>
      </c>
      <c r="O37" s="704">
        <f>huishoudens!N12</f>
        <v>0</v>
      </c>
      <c r="P37" s="704">
        <f>huishoudens!O12</f>
        <v>0</v>
      </c>
      <c r="Q37" s="814">
        <f>huishoudens!P12</f>
        <v>0</v>
      </c>
      <c r="R37" s="905">
        <f ca="1">SUM(C37:Q37)</f>
        <v>13657.106709326639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890.01247221961967</v>
      </c>
      <c r="D39" s="704">
        <f ca="1">industrie!C22</f>
        <v>0</v>
      </c>
      <c r="E39" s="704">
        <f>industrie!D22</f>
        <v>71.150439263847659</v>
      </c>
      <c r="F39" s="704">
        <f>industrie!E22</f>
        <v>162.37123884563388</v>
      </c>
      <c r="G39" s="704">
        <f>industrie!F22</f>
        <v>533.3940638130216</v>
      </c>
      <c r="H39" s="704">
        <f>industrie!G22</f>
        <v>0</v>
      </c>
      <c r="I39" s="704">
        <f>industrie!H22</f>
        <v>0</v>
      </c>
      <c r="J39" s="704">
        <f>industrie!I22</f>
        <v>0</v>
      </c>
      <c r="K39" s="704">
        <f>industrie!J22</f>
        <v>2.2032810093318016</v>
      </c>
      <c r="L39" s="704">
        <f>industrie!K22</f>
        <v>0</v>
      </c>
      <c r="M39" s="704">
        <f>industrie!L22</f>
        <v>0</v>
      </c>
      <c r="N39" s="704">
        <f>industrie!M22</f>
        <v>0</v>
      </c>
      <c r="O39" s="704">
        <f>industrie!N22</f>
        <v>0</v>
      </c>
      <c r="P39" s="704">
        <f>industrie!O22</f>
        <v>0</v>
      </c>
      <c r="Q39" s="814">
        <f>industrie!P22</f>
        <v>0</v>
      </c>
      <c r="R39" s="906">
        <f ca="1">SUM(C39:Q39)</f>
        <v>1659.1314951514544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4677.61678180132</v>
      </c>
      <c r="D41" s="749">
        <f t="shared" ref="D41:R41" ca="1" si="4">SUM(D35:D40)</f>
        <v>0</v>
      </c>
      <c r="E41" s="749">
        <f t="shared" ca="1" si="4"/>
        <v>2148.7306723750621</v>
      </c>
      <c r="F41" s="749">
        <f t="shared" si="4"/>
        <v>850.86572992332572</v>
      </c>
      <c r="G41" s="749">
        <f t="shared" ca="1" si="4"/>
        <v>8140.539320277805</v>
      </c>
      <c r="H41" s="749">
        <f t="shared" si="4"/>
        <v>0</v>
      </c>
      <c r="I41" s="749">
        <f t="shared" si="4"/>
        <v>0</v>
      </c>
      <c r="J41" s="749">
        <f t="shared" si="4"/>
        <v>0</v>
      </c>
      <c r="K41" s="749">
        <f t="shared" si="4"/>
        <v>1367.4947164137075</v>
      </c>
      <c r="L41" s="749">
        <f t="shared" si="4"/>
        <v>0</v>
      </c>
      <c r="M41" s="749">
        <f t="shared" ca="1" si="4"/>
        <v>0</v>
      </c>
      <c r="N41" s="749">
        <f t="shared" si="4"/>
        <v>0</v>
      </c>
      <c r="O41" s="749">
        <f t="shared" ca="1" si="4"/>
        <v>0</v>
      </c>
      <c r="P41" s="749">
        <f t="shared" si="4"/>
        <v>0</v>
      </c>
      <c r="Q41" s="750">
        <f t="shared" si="4"/>
        <v>0</v>
      </c>
      <c r="R41" s="751">
        <f t="shared" ca="1" si="4"/>
        <v>17185.247220791218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138.18874983700775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138.18874983700775</v>
      </c>
    </row>
    <row r="45" spans="1:18" ht="15" thickBot="1">
      <c r="A45" s="876" t="s">
        <v>307</v>
      </c>
      <c r="B45" s="886"/>
      <c r="C45" s="713">
        <f ca="1">transport!B18</f>
        <v>0.4015836737769739</v>
      </c>
      <c r="D45" s="713">
        <f>transport!C18</f>
        <v>0</v>
      </c>
      <c r="E45" s="713">
        <f>transport!D18</f>
        <v>0.86773891944937731</v>
      </c>
      <c r="F45" s="713">
        <f>transport!E18</f>
        <v>28.861637036741012</v>
      </c>
      <c r="G45" s="713">
        <f>transport!F18</f>
        <v>0</v>
      </c>
      <c r="H45" s="713">
        <f>transport!G18</f>
        <v>7182.3125543165543</v>
      </c>
      <c r="I45" s="713">
        <f>transport!H18</f>
        <v>1581.2668595655327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8793.7103735120545</v>
      </c>
    </row>
    <row r="46" spans="1:18" ht="15.75" thickBot="1">
      <c r="A46" s="874" t="s">
        <v>230</v>
      </c>
      <c r="B46" s="887"/>
      <c r="C46" s="749">
        <f t="shared" ref="C46:R46" ca="1" si="5">SUM(C43:C45)</f>
        <v>0.4015836737769739</v>
      </c>
      <c r="D46" s="749">
        <f t="shared" ca="1" si="5"/>
        <v>0</v>
      </c>
      <c r="E46" s="749">
        <f t="shared" si="5"/>
        <v>0.86773891944937731</v>
      </c>
      <c r="F46" s="749">
        <f t="shared" si="5"/>
        <v>28.861637036741012</v>
      </c>
      <c r="G46" s="749">
        <f t="shared" si="5"/>
        <v>0</v>
      </c>
      <c r="H46" s="749">
        <f t="shared" si="5"/>
        <v>7320.5013041535622</v>
      </c>
      <c r="I46" s="749">
        <f t="shared" si="5"/>
        <v>1581.2668595655327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8931.8991233490615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263.20609112491644</v>
      </c>
      <c r="D48" s="704">
        <f ca="1">+landbouw!C12</f>
        <v>0</v>
      </c>
      <c r="E48" s="704">
        <f>+landbouw!D12</f>
        <v>41.319403980024141</v>
      </c>
      <c r="F48" s="704">
        <f>+landbouw!E12</f>
        <v>3.8663364629893326</v>
      </c>
      <c r="G48" s="704">
        <f>+landbouw!F12</f>
        <v>1245.1473034150999</v>
      </c>
      <c r="H48" s="704">
        <f>+landbouw!G12</f>
        <v>0</v>
      </c>
      <c r="I48" s="704">
        <f>+landbouw!H12</f>
        <v>0</v>
      </c>
      <c r="J48" s="704">
        <f>+landbouw!I12</f>
        <v>0</v>
      </c>
      <c r="K48" s="704">
        <f>+landbouw!J12</f>
        <v>71.957673523604583</v>
      </c>
      <c r="L48" s="704">
        <f>+landbouw!K12</f>
        <v>0</v>
      </c>
      <c r="M48" s="704">
        <f>+landbouw!L12</f>
        <v>0</v>
      </c>
      <c r="N48" s="704">
        <f>+landbouw!M12</f>
        <v>0</v>
      </c>
      <c r="O48" s="704">
        <f>+landbouw!N12</f>
        <v>0</v>
      </c>
      <c r="P48" s="704">
        <f>+landbouw!O12</f>
        <v>0</v>
      </c>
      <c r="Q48" s="705">
        <f>+landbouw!P12</f>
        <v>0</v>
      </c>
      <c r="R48" s="747">
        <f ca="1">SUM(C48:Q48)</f>
        <v>1625.4968085066346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4941.2244566000136</v>
      </c>
      <c r="D53" s="759">
        <f t="shared" ref="D53:Q53" ca="1" si="6">D41+D46+D48</f>
        <v>0</v>
      </c>
      <c r="E53" s="759">
        <f t="shared" ca="1" si="6"/>
        <v>2190.9178152745358</v>
      </c>
      <c r="F53" s="759">
        <f t="shared" si="6"/>
        <v>883.59370342305613</v>
      </c>
      <c r="G53" s="759">
        <f t="shared" ca="1" si="6"/>
        <v>9385.6866236929054</v>
      </c>
      <c r="H53" s="759">
        <f t="shared" si="6"/>
        <v>7320.5013041535622</v>
      </c>
      <c r="I53" s="759">
        <f t="shared" si="6"/>
        <v>1581.2668595655327</v>
      </c>
      <c r="J53" s="759">
        <f t="shared" si="6"/>
        <v>0</v>
      </c>
      <c r="K53" s="759">
        <f t="shared" si="6"/>
        <v>1439.4523899373121</v>
      </c>
      <c r="L53" s="759">
        <f t="shared" si="6"/>
        <v>0</v>
      </c>
      <c r="M53" s="759">
        <f t="shared" ca="1" si="6"/>
        <v>0</v>
      </c>
      <c r="N53" s="759">
        <f t="shared" si="6"/>
        <v>0</v>
      </c>
      <c r="O53" s="759">
        <f t="shared" ca="1" si="6"/>
        <v>0</v>
      </c>
      <c r="P53" s="759">
        <f>P41+P46+P48</f>
        <v>0</v>
      </c>
      <c r="Q53" s="760">
        <f t="shared" si="6"/>
        <v>0</v>
      </c>
      <c r="R53" s="761">
        <f ca="1">R41+R46+R48</f>
        <v>27742.643152646917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0.19473189667699345</v>
      </c>
      <c r="D55" s="824">
        <f t="shared" ca="1" si="7"/>
        <v>0</v>
      </c>
      <c r="E55" s="824">
        <f t="shared" ca="1" si="7"/>
        <v>0.20200000000000004</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2972.3680102508906</v>
      </c>
      <c r="C66" s="781">
        <f>'lokale energieproductie'!B6</f>
        <v>2972.3680102508906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43.649999999999991</v>
      </c>
      <c r="C67" s="780">
        <f>B67*IFERROR(SUM(J67:L67)/SUM(D67:M67),0)</f>
        <v>43.649999999999991</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51.35294117647058</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3016.0180102508907</v>
      </c>
      <c r="C69" s="789">
        <f>SUM(C64:C68)</f>
        <v>3016.0180102508907</v>
      </c>
      <c r="D69" s="790">
        <f t="shared" ref="D69:M69" si="8">SUM(D67:D68)</f>
        <v>0</v>
      </c>
      <c r="E69" s="790">
        <f t="shared" si="8"/>
        <v>0</v>
      </c>
      <c r="F69" s="790">
        <f t="shared" si="8"/>
        <v>0</v>
      </c>
      <c r="G69" s="790">
        <f t="shared" si="8"/>
        <v>0</v>
      </c>
      <c r="H69" s="790">
        <f t="shared" si="8"/>
        <v>0</v>
      </c>
      <c r="I69" s="790">
        <f t="shared" si="8"/>
        <v>0</v>
      </c>
      <c r="J69" s="790">
        <f t="shared" si="8"/>
        <v>0</v>
      </c>
      <c r="K69" s="790">
        <f t="shared" si="8"/>
        <v>51.35294117647058</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62.357142857142847</v>
      </c>
      <c r="C78" s="803">
        <f>B78*IFERROR(SUM(I78:L78)/SUM(D78:M78),0)</f>
        <v>62.357142857142847</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73.361344537815114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62.357142857142847</v>
      </c>
      <c r="C81" s="789">
        <f>SUM(C78:C80)</f>
        <v>62.357142857142847</v>
      </c>
      <c r="D81" s="789">
        <f t="shared" ref="D81:P81" si="9">SUM(D78:D80)</f>
        <v>0</v>
      </c>
      <c r="E81" s="789">
        <f t="shared" si="9"/>
        <v>0</v>
      </c>
      <c r="F81" s="789">
        <f t="shared" si="9"/>
        <v>0</v>
      </c>
      <c r="G81" s="789">
        <f t="shared" si="9"/>
        <v>0</v>
      </c>
      <c r="H81" s="789">
        <f t="shared" si="9"/>
        <v>0</v>
      </c>
      <c r="I81" s="789">
        <f t="shared" si="9"/>
        <v>0</v>
      </c>
      <c r="J81" s="789">
        <f t="shared" si="9"/>
        <v>0</v>
      </c>
      <c r="K81" s="789">
        <f t="shared" si="9"/>
        <v>73.361344537815114</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12812.482921914587</v>
      </c>
      <c r="C4" s="463">
        <f>huishoudens!C8</f>
        <v>0</v>
      </c>
      <c r="D4" s="463">
        <f>huishoudens!D8</f>
        <v>9081.7501428536689</v>
      </c>
      <c r="E4" s="463">
        <f>huishoudens!E8</f>
        <v>2948.1401176540262</v>
      </c>
      <c r="F4" s="463">
        <f>huishoudens!F8</f>
        <v>27314.887033079944</v>
      </c>
      <c r="G4" s="463">
        <f>huishoudens!G8</f>
        <v>0</v>
      </c>
      <c r="H4" s="463">
        <f>huishoudens!H8</f>
        <v>0</v>
      </c>
      <c r="I4" s="463">
        <f>huishoudens!I8</f>
        <v>0</v>
      </c>
      <c r="J4" s="463">
        <f>huishoudens!J8</f>
        <v>3856.7554672439996</v>
      </c>
      <c r="K4" s="463">
        <f>huishoudens!K8</f>
        <v>0</v>
      </c>
      <c r="L4" s="463">
        <f>huishoudens!L8</f>
        <v>0</v>
      </c>
      <c r="M4" s="463">
        <f>huishoudens!M8</f>
        <v>0</v>
      </c>
      <c r="N4" s="463">
        <f>huishoudens!N8</f>
        <v>8289.2723900413821</v>
      </c>
      <c r="O4" s="463">
        <f>huishoudens!O8</f>
        <v>120.37666666666668</v>
      </c>
      <c r="P4" s="464">
        <f>huishoudens!P8</f>
        <v>495.73333333333335</v>
      </c>
      <c r="Q4" s="465">
        <f>SUM(B4:P4)</f>
        <v>64919.398072787604</v>
      </c>
    </row>
    <row r="5" spans="1:17">
      <c r="A5" s="462" t="s">
        <v>156</v>
      </c>
      <c r="B5" s="463">
        <f ca="1">tertiair!B16</f>
        <v>6068.9129965515422</v>
      </c>
      <c r="C5" s="463">
        <f ca="1">tertiair!C16</f>
        <v>0</v>
      </c>
      <c r="D5" s="463">
        <f ca="1">tertiair!D16</f>
        <v>1203.3005161127376</v>
      </c>
      <c r="E5" s="463">
        <f>tertiair!E16</f>
        <v>84.875261542854076</v>
      </c>
      <c r="F5" s="463">
        <f ca="1">tertiair!F16</f>
        <v>1176.2937027432133</v>
      </c>
      <c r="G5" s="463">
        <f>tertiair!G16</f>
        <v>0</v>
      </c>
      <c r="H5" s="463">
        <f>tertiair!H16</f>
        <v>0</v>
      </c>
      <c r="I5" s="463">
        <f>tertiair!I16</f>
        <v>0</v>
      </c>
      <c r="J5" s="463">
        <f>tertiair!J16</f>
        <v>0</v>
      </c>
      <c r="K5" s="463">
        <f>tertiair!K16</f>
        <v>0</v>
      </c>
      <c r="L5" s="463">
        <f ca="1">tertiair!L16</f>
        <v>0</v>
      </c>
      <c r="M5" s="463">
        <f>tertiair!M16</f>
        <v>0</v>
      </c>
      <c r="N5" s="463">
        <f ca="1">tertiair!N16</f>
        <v>329.96523789654344</v>
      </c>
      <c r="O5" s="463">
        <f>tertiair!O16</f>
        <v>0</v>
      </c>
      <c r="P5" s="464">
        <f>tertiair!P16</f>
        <v>19.066666666666666</v>
      </c>
      <c r="Q5" s="462">
        <f t="shared" ref="Q5:Q13" ca="1" si="0">SUM(B5:P5)</f>
        <v>8882.4143815135576</v>
      </c>
    </row>
    <row r="6" spans="1:17">
      <c r="A6" s="462" t="s">
        <v>194</v>
      </c>
      <c r="B6" s="463">
        <f>'openbare verlichting'!B8</f>
        <v>568.95799999999997</v>
      </c>
      <c r="C6" s="463"/>
      <c r="D6" s="463"/>
      <c r="E6" s="463"/>
      <c r="F6" s="463"/>
      <c r="G6" s="463"/>
      <c r="H6" s="463"/>
      <c r="I6" s="463"/>
      <c r="J6" s="463"/>
      <c r="K6" s="463"/>
      <c r="L6" s="463"/>
      <c r="M6" s="463"/>
      <c r="N6" s="463"/>
      <c r="O6" s="463"/>
      <c r="P6" s="464"/>
      <c r="Q6" s="462">
        <f t="shared" si="0"/>
        <v>568.95799999999997</v>
      </c>
    </row>
    <row r="7" spans="1:17">
      <c r="A7" s="462" t="s">
        <v>112</v>
      </c>
      <c r="B7" s="463">
        <f>landbouw!B8</f>
        <v>1351.6331716395844</v>
      </c>
      <c r="C7" s="463">
        <f>landbouw!C8</f>
        <v>62.357142857142847</v>
      </c>
      <c r="D7" s="463">
        <f>landbouw!D8</f>
        <v>204.55150485160465</v>
      </c>
      <c r="E7" s="463">
        <f>landbouw!E8</f>
        <v>17.032319220217325</v>
      </c>
      <c r="F7" s="463">
        <f>landbouw!F8</f>
        <v>4663.4730464985014</v>
      </c>
      <c r="G7" s="463">
        <f>landbouw!G8</f>
        <v>0</v>
      </c>
      <c r="H7" s="463">
        <f>landbouw!H8</f>
        <v>0</v>
      </c>
      <c r="I7" s="463">
        <f>landbouw!I8</f>
        <v>0</v>
      </c>
      <c r="J7" s="463">
        <f>landbouw!J8</f>
        <v>203.27026419097339</v>
      </c>
      <c r="K7" s="463">
        <f>landbouw!K8</f>
        <v>0</v>
      </c>
      <c r="L7" s="463">
        <f>landbouw!L8</f>
        <v>0</v>
      </c>
      <c r="M7" s="463">
        <f>landbouw!M8</f>
        <v>0</v>
      </c>
      <c r="N7" s="463">
        <f>landbouw!N8</f>
        <v>0</v>
      </c>
      <c r="O7" s="463">
        <f>landbouw!O8</f>
        <v>0</v>
      </c>
      <c r="P7" s="464">
        <f>landbouw!P8</f>
        <v>0</v>
      </c>
      <c r="Q7" s="462">
        <f t="shared" si="0"/>
        <v>6502.3174492580247</v>
      </c>
    </row>
    <row r="8" spans="1:17">
      <c r="A8" s="462" t="s">
        <v>657</v>
      </c>
      <c r="B8" s="463">
        <f>industrie!B18</f>
        <v>4570.4503854132599</v>
      </c>
      <c r="C8" s="463">
        <f>industrie!C18</f>
        <v>0</v>
      </c>
      <c r="D8" s="463">
        <f>industrie!D18</f>
        <v>352.2298973457805</v>
      </c>
      <c r="E8" s="463">
        <f>industrie!E18</f>
        <v>715.29180108208755</v>
      </c>
      <c r="F8" s="463">
        <f>industrie!F18</f>
        <v>1997.7305760787324</v>
      </c>
      <c r="G8" s="463">
        <f>industrie!G18</f>
        <v>0</v>
      </c>
      <c r="H8" s="463">
        <f>industrie!H18</f>
        <v>0</v>
      </c>
      <c r="I8" s="463">
        <f>industrie!I18</f>
        <v>0</v>
      </c>
      <c r="J8" s="463">
        <f>industrie!J18</f>
        <v>6.2239576534796663</v>
      </c>
      <c r="K8" s="463">
        <f>industrie!K18</f>
        <v>0</v>
      </c>
      <c r="L8" s="463">
        <f>industrie!L18</f>
        <v>0</v>
      </c>
      <c r="M8" s="463">
        <f>industrie!M18</f>
        <v>0</v>
      </c>
      <c r="N8" s="463">
        <f>industrie!N18</f>
        <v>1175.9343246226351</v>
      </c>
      <c r="O8" s="463">
        <f>industrie!O18</f>
        <v>0</v>
      </c>
      <c r="P8" s="464">
        <f>industrie!P18</f>
        <v>0</v>
      </c>
      <c r="Q8" s="462">
        <f t="shared" si="0"/>
        <v>8817.8609421959736</v>
      </c>
    </row>
    <row r="9" spans="1:17" s="468" customFormat="1">
      <c r="A9" s="466" t="s">
        <v>574</v>
      </c>
      <c r="B9" s="467">
        <f>transport!B14</f>
        <v>2.062238804375693</v>
      </c>
      <c r="C9" s="467">
        <f>transport!C14</f>
        <v>0</v>
      </c>
      <c r="D9" s="467">
        <f>transport!D14</f>
        <v>4.295737224996917</v>
      </c>
      <c r="E9" s="467">
        <f>transport!E14</f>
        <v>127.14377549225115</v>
      </c>
      <c r="F9" s="467">
        <f>transport!F14</f>
        <v>0</v>
      </c>
      <c r="G9" s="467">
        <f>transport!G14</f>
        <v>26900.047019912188</v>
      </c>
      <c r="H9" s="467">
        <f>transport!H14</f>
        <v>6350.4693155242276</v>
      </c>
      <c r="I9" s="467">
        <f>transport!I14</f>
        <v>0</v>
      </c>
      <c r="J9" s="467">
        <f>transport!J14</f>
        <v>0</v>
      </c>
      <c r="K9" s="467">
        <f>transport!K14</f>
        <v>0</v>
      </c>
      <c r="L9" s="467">
        <f>transport!L14</f>
        <v>0</v>
      </c>
      <c r="M9" s="467">
        <f>transport!M14</f>
        <v>1485.3735629380337</v>
      </c>
      <c r="N9" s="467">
        <f>transport!N14</f>
        <v>0</v>
      </c>
      <c r="O9" s="467">
        <f>transport!O14</f>
        <v>0</v>
      </c>
      <c r="P9" s="467">
        <f>transport!P14</f>
        <v>0</v>
      </c>
      <c r="Q9" s="466">
        <f>SUM(B9:P9)</f>
        <v>34869.391649896068</v>
      </c>
    </row>
    <row r="10" spans="1:17">
      <c r="A10" s="462" t="s">
        <v>564</v>
      </c>
      <c r="B10" s="463">
        <f>transport!B54</f>
        <v>0</v>
      </c>
      <c r="C10" s="463">
        <f>transport!C54</f>
        <v>0</v>
      </c>
      <c r="D10" s="463">
        <f>transport!D54</f>
        <v>0</v>
      </c>
      <c r="E10" s="463">
        <f>transport!E54</f>
        <v>0</v>
      </c>
      <c r="F10" s="463">
        <f>transport!F54</f>
        <v>0</v>
      </c>
      <c r="G10" s="463">
        <f>transport!G54</f>
        <v>517.56086081276305</v>
      </c>
      <c r="H10" s="463">
        <f>transport!H54</f>
        <v>0</v>
      </c>
      <c r="I10" s="463">
        <f>transport!I54</f>
        <v>0</v>
      </c>
      <c r="J10" s="463">
        <f>transport!J54</f>
        <v>0</v>
      </c>
      <c r="K10" s="463">
        <f>transport!K54</f>
        <v>0</v>
      </c>
      <c r="L10" s="463">
        <f>transport!L54</f>
        <v>0</v>
      </c>
      <c r="M10" s="463">
        <f>transport!M54</f>
        <v>23.017197390929848</v>
      </c>
      <c r="N10" s="463">
        <f>transport!N54</f>
        <v>0</v>
      </c>
      <c r="O10" s="463">
        <f>transport!O54</f>
        <v>0</v>
      </c>
      <c r="P10" s="464">
        <f>transport!P54</f>
        <v>0</v>
      </c>
      <c r="Q10" s="462">
        <f t="shared" si="0"/>
        <v>540.57805820369288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25374.499714323345</v>
      </c>
      <c r="C14" s="473">
        <f t="shared" ref="C14:Q14" ca="1" si="1">SUM(C4:C13)</f>
        <v>62.357142857142847</v>
      </c>
      <c r="D14" s="473">
        <f t="shared" ca="1" si="1"/>
        <v>10846.127798388789</v>
      </c>
      <c r="E14" s="473">
        <f t="shared" si="1"/>
        <v>3892.4832749914362</v>
      </c>
      <c r="F14" s="473">
        <f t="shared" ca="1" si="1"/>
        <v>35152.384358400392</v>
      </c>
      <c r="G14" s="473">
        <f t="shared" si="1"/>
        <v>27417.607880724951</v>
      </c>
      <c r="H14" s="473">
        <f t="shared" si="1"/>
        <v>6350.4693155242276</v>
      </c>
      <c r="I14" s="473">
        <f t="shared" si="1"/>
        <v>0</v>
      </c>
      <c r="J14" s="473">
        <f t="shared" si="1"/>
        <v>4066.2496890884527</v>
      </c>
      <c r="K14" s="473">
        <f t="shared" si="1"/>
        <v>0</v>
      </c>
      <c r="L14" s="473">
        <f t="shared" ca="1" si="1"/>
        <v>0</v>
      </c>
      <c r="M14" s="473">
        <f t="shared" si="1"/>
        <v>1508.3907603289636</v>
      </c>
      <c r="N14" s="473">
        <f t="shared" ca="1" si="1"/>
        <v>9795.1719525605604</v>
      </c>
      <c r="O14" s="473">
        <f t="shared" si="1"/>
        <v>120.37666666666668</v>
      </c>
      <c r="P14" s="474">
        <f t="shared" si="1"/>
        <v>514.80000000000007</v>
      </c>
      <c r="Q14" s="474">
        <f t="shared" ca="1" si="1"/>
        <v>125100.91855385494</v>
      </c>
    </row>
    <row r="16" spans="1:17">
      <c r="A16" s="476" t="s">
        <v>569</v>
      </c>
      <c r="B16" s="829">
        <f ca="1">huishoudens!B10</f>
        <v>0.19473189667699342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2494.999100526014</v>
      </c>
      <c r="C21" s="463">
        <f t="shared" ref="C21:C30" ca="1" si="3">C4*$C$16</f>
        <v>0</v>
      </c>
      <c r="D21" s="463">
        <f t="shared" ref="D21:D30" si="4">D4*$D$16</f>
        <v>1834.5135288564413</v>
      </c>
      <c r="E21" s="463">
        <f t="shared" ref="E21:E30" si="5">E4*$E$16</f>
        <v>669.22780670746397</v>
      </c>
      <c r="F21" s="463">
        <f t="shared" ref="F21:F30" si="6">F4*$F$16</f>
        <v>7293.0748378323451</v>
      </c>
      <c r="G21" s="463">
        <f t="shared" ref="G21:G30" si="7">G4*$G$16</f>
        <v>0</v>
      </c>
      <c r="H21" s="463">
        <f t="shared" ref="H21:H30" si="8">H4*$H$16</f>
        <v>0</v>
      </c>
      <c r="I21" s="463">
        <f t="shared" ref="I21:I30" si="9">I4*$I$16</f>
        <v>0</v>
      </c>
      <c r="J21" s="463">
        <f t="shared" ref="J21:J30" si="10">J4*$J$16</f>
        <v>1365.2914354043758</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13657.106709326639</v>
      </c>
    </row>
    <row r="22" spans="1:17">
      <c r="A22" s="462" t="s">
        <v>156</v>
      </c>
      <c r="B22" s="463">
        <f t="shared" ca="1" si="2"/>
        <v>1181.8109385861374</v>
      </c>
      <c r="C22" s="463">
        <f t="shared" ca="1" si="3"/>
        <v>0</v>
      </c>
      <c r="D22" s="463">
        <f t="shared" ca="1" si="4"/>
        <v>243.06670425477301</v>
      </c>
      <c r="E22" s="463">
        <f t="shared" si="5"/>
        <v>19.266684370227875</v>
      </c>
      <c r="F22" s="463">
        <f t="shared" ca="1" si="6"/>
        <v>314.07041863243796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1758.2147458435761</v>
      </c>
    </row>
    <row r="23" spans="1:17">
      <c r="A23" s="462" t="s">
        <v>194</v>
      </c>
      <c r="B23" s="463">
        <f t="shared" ca="1" si="2"/>
        <v>110.79427046954882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110.79427046954882</v>
      </c>
    </row>
    <row r="24" spans="1:17">
      <c r="A24" s="462" t="s">
        <v>112</v>
      </c>
      <c r="B24" s="463">
        <f t="shared" ca="1" si="2"/>
        <v>263.20609112491644</v>
      </c>
      <c r="C24" s="463">
        <f t="shared" ca="1" si="3"/>
        <v>0</v>
      </c>
      <c r="D24" s="463">
        <f t="shared" si="4"/>
        <v>41.319403980024141</v>
      </c>
      <c r="E24" s="463">
        <f t="shared" si="5"/>
        <v>3.8663364629893326</v>
      </c>
      <c r="F24" s="463">
        <f t="shared" si="6"/>
        <v>1245.1473034150999</v>
      </c>
      <c r="G24" s="463">
        <f t="shared" si="7"/>
        <v>0</v>
      </c>
      <c r="H24" s="463">
        <f t="shared" si="8"/>
        <v>0</v>
      </c>
      <c r="I24" s="463">
        <f t="shared" si="9"/>
        <v>0</v>
      </c>
      <c r="J24" s="463">
        <f t="shared" si="10"/>
        <v>71.957673523604583</v>
      </c>
      <c r="K24" s="463">
        <f t="shared" si="11"/>
        <v>0</v>
      </c>
      <c r="L24" s="463">
        <f t="shared" si="12"/>
        <v>0</v>
      </c>
      <c r="M24" s="463">
        <f t="shared" si="13"/>
        <v>0</v>
      </c>
      <c r="N24" s="463">
        <f t="shared" si="14"/>
        <v>0</v>
      </c>
      <c r="O24" s="463">
        <f t="shared" si="15"/>
        <v>0</v>
      </c>
      <c r="P24" s="464">
        <f t="shared" si="16"/>
        <v>0</v>
      </c>
      <c r="Q24" s="462">
        <f t="shared" ca="1" si="17"/>
        <v>1625.4968085066346</v>
      </c>
    </row>
    <row r="25" spans="1:17">
      <c r="A25" s="462" t="s">
        <v>657</v>
      </c>
      <c r="B25" s="463">
        <f t="shared" ca="1" si="2"/>
        <v>890.01247221961967</v>
      </c>
      <c r="C25" s="463">
        <f t="shared" ca="1" si="3"/>
        <v>0</v>
      </c>
      <c r="D25" s="463">
        <f t="shared" si="4"/>
        <v>71.150439263847659</v>
      </c>
      <c r="E25" s="463">
        <f t="shared" si="5"/>
        <v>162.37123884563388</v>
      </c>
      <c r="F25" s="463">
        <f t="shared" si="6"/>
        <v>533.3940638130216</v>
      </c>
      <c r="G25" s="463">
        <f t="shared" si="7"/>
        <v>0</v>
      </c>
      <c r="H25" s="463">
        <f t="shared" si="8"/>
        <v>0</v>
      </c>
      <c r="I25" s="463">
        <f t="shared" si="9"/>
        <v>0</v>
      </c>
      <c r="J25" s="463">
        <f t="shared" si="10"/>
        <v>2.2032810093318016</v>
      </c>
      <c r="K25" s="463">
        <f t="shared" si="11"/>
        <v>0</v>
      </c>
      <c r="L25" s="463">
        <f t="shared" si="12"/>
        <v>0</v>
      </c>
      <c r="M25" s="463">
        <f t="shared" si="13"/>
        <v>0</v>
      </c>
      <c r="N25" s="463">
        <f t="shared" si="14"/>
        <v>0</v>
      </c>
      <c r="O25" s="463">
        <f t="shared" si="15"/>
        <v>0</v>
      </c>
      <c r="P25" s="464">
        <f t="shared" si="16"/>
        <v>0</v>
      </c>
      <c r="Q25" s="462">
        <f t="shared" ca="1" si="17"/>
        <v>1659.1314951514544</v>
      </c>
    </row>
    <row r="26" spans="1:17" s="468" customFormat="1">
      <c r="A26" s="466" t="s">
        <v>574</v>
      </c>
      <c r="B26" s="823">
        <f t="shared" ca="1" si="2"/>
        <v>0.4015836737769739</v>
      </c>
      <c r="C26" s="467">
        <f t="shared" ca="1" si="3"/>
        <v>0</v>
      </c>
      <c r="D26" s="467">
        <f t="shared" si="4"/>
        <v>0.86773891944937731</v>
      </c>
      <c r="E26" s="467">
        <f t="shared" si="5"/>
        <v>28.861637036741012</v>
      </c>
      <c r="F26" s="467">
        <f t="shared" si="6"/>
        <v>0</v>
      </c>
      <c r="G26" s="467">
        <f t="shared" si="7"/>
        <v>7182.3125543165543</v>
      </c>
      <c r="H26" s="467">
        <f t="shared" si="8"/>
        <v>1581.2668595655327</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8793.7103735120545</v>
      </c>
    </row>
    <row r="27" spans="1:17">
      <c r="A27" s="462" t="s">
        <v>564</v>
      </c>
      <c r="B27" s="463">
        <f t="shared" ca="1" si="2"/>
        <v>0</v>
      </c>
      <c r="C27" s="463">
        <f t="shared" ca="1" si="3"/>
        <v>0</v>
      </c>
      <c r="D27" s="463">
        <f t="shared" si="4"/>
        <v>0</v>
      </c>
      <c r="E27" s="463">
        <f t="shared" si="5"/>
        <v>0</v>
      </c>
      <c r="F27" s="463">
        <f t="shared" si="6"/>
        <v>0</v>
      </c>
      <c r="G27" s="463">
        <f t="shared" si="7"/>
        <v>138.18874983700775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138.18874983700775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4941.2244566000136</v>
      </c>
      <c r="C31" s="473">
        <f t="shared" ca="1" si="18"/>
        <v>0</v>
      </c>
      <c r="D31" s="473">
        <f t="shared" ca="1" si="18"/>
        <v>2190.9178152745358</v>
      </c>
      <c r="E31" s="473">
        <f t="shared" si="18"/>
        <v>883.59370342305613</v>
      </c>
      <c r="F31" s="473">
        <f t="shared" ca="1" si="18"/>
        <v>9385.6866236929054</v>
      </c>
      <c r="G31" s="473">
        <f t="shared" si="18"/>
        <v>7320.5013041535622</v>
      </c>
      <c r="H31" s="473">
        <f t="shared" si="18"/>
        <v>1581.2668595655327</v>
      </c>
      <c r="I31" s="473">
        <f t="shared" si="18"/>
        <v>0</v>
      </c>
      <c r="J31" s="473">
        <f t="shared" si="18"/>
        <v>1439.4523899373121</v>
      </c>
      <c r="K31" s="473">
        <f t="shared" si="18"/>
        <v>0</v>
      </c>
      <c r="L31" s="473">
        <f t="shared" ca="1" si="18"/>
        <v>0</v>
      </c>
      <c r="M31" s="473">
        <f t="shared" si="18"/>
        <v>0</v>
      </c>
      <c r="N31" s="473">
        <f t="shared" ca="1" si="18"/>
        <v>0</v>
      </c>
      <c r="O31" s="473">
        <f t="shared" si="18"/>
        <v>0</v>
      </c>
      <c r="P31" s="474">
        <f t="shared" si="18"/>
        <v>0</v>
      </c>
      <c r="Q31" s="474">
        <f t="shared" ca="1" si="18"/>
        <v>27742.643152646917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0.19473189667699342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0.19473189667699342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0.19473189667699342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45061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2474</v>
      </c>
      <c r="C9" s="338">
        <v>2605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2877</v>
      </c>
    </row>
    <row r="15" spans="1:6">
      <c r="A15" s="1212" t="s">
        <v>184</v>
      </c>
      <c r="B15" s="335">
        <v>27</v>
      </c>
    </row>
    <row r="16" spans="1:6">
      <c r="A16" s="1212" t="s">
        <v>6</v>
      </c>
      <c r="B16" s="335">
        <v>827</v>
      </c>
    </row>
    <row r="17" spans="1:6">
      <c r="A17" s="1212" t="s">
        <v>7</v>
      </c>
      <c r="B17" s="335">
        <v>867</v>
      </c>
    </row>
    <row r="18" spans="1:6">
      <c r="A18" s="1212" t="s">
        <v>8</v>
      </c>
      <c r="B18" s="335">
        <v>1128</v>
      </c>
    </row>
    <row r="19" spans="1:6">
      <c r="A19" s="1212" t="s">
        <v>9</v>
      </c>
      <c r="B19" s="335">
        <v>1048</v>
      </c>
    </row>
    <row r="20" spans="1:6">
      <c r="A20" s="1212" t="s">
        <v>10</v>
      </c>
      <c r="B20" s="335">
        <v>687</v>
      </c>
    </row>
    <row r="21" spans="1:6">
      <c r="A21" s="1212" t="s">
        <v>11</v>
      </c>
      <c r="B21" s="335">
        <v>3521</v>
      </c>
    </row>
    <row r="22" spans="1:6">
      <c r="A22" s="1212" t="s">
        <v>12</v>
      </c>
      <c r="B22" s="335">
        <v>13380</v>
      </c>
    </row>
    <row r="23" spans="1:6">
      <c r="A23" s="1212" t="s">
        <v>13</v>
      </c>
      <c r="B23" s="335">
        <v>69</v>
      </c>
    </row>
    <row r="24" spans="1:6">
      <c r="A24" s="1212" t="s">
        <v>14</v>
      </c>
      <c r="B24" s="335">
        <v>9</v>
      </c>
    </row>
    <row r="25" spans="1:6">
      <c r="A25" s="1212" t="s">
        <v>15</v>
      </c>
      <c r="B25" s="335">
        <v>960</v>
      </c>
    </row>
    <row r="26" spans="1:6">
      <c r="A26" s="1212" t="s">
        <v>16</v>
      </c>
      <c r="B26" s="335">
        <v>176</v>
      </c>
    </row>
    <row r="27" spans="1:6">
      <c r="A27" s="1212" t="s">
        <v>17</v>
      </c>
      <c r="B27" s="335">
        <v>6</v>
      </c>
    </row>
    <row r="28" spans="1:6" s="341" customFormat="1">
      <c r="A28" s="1213" t="s">
        <v>18</v>
      </c>
      <c r="B28" s="1213">
        <v>13366</v>
      </c>
    </row>
    <row r="29" spans="1:6">
      <c r="A29" s="1213" t="s">
        <v>836</v>
      </c>
      <c r="B29" s="1213">
        <v>97</v>
      </c>
      <c r="C29" s="341"/>
      <c r="D29" s="341"/>
      <c r="E29" s="341"/>
      <c r="F29" s="341"/>
    </row>
    <row r="30" spans="1:6">
      <c r="A30" s="1208" t="s">
        <v>837</v>
      </c>
      <c r="B30" s="1208">
        <v>21</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1</v>
      </c>
      <c r="F38" s="335">
        <v>773.16168533760003</v>
      </c>
    </row>
    <row r="39" spans="1:6">
      <c r="A39" s="1212" t="s">
        <v>30</v>
      </c>
      <c r="B39" s="1212" t="s">
        <v>31</v>
      </c>
      <c r="C39" s="335">
        <v>599</v>
      </c>
      <c r="D39" s="335">
        <v>10068459.138418701</v>
      </c>
      <c r="E39" s="335">
        <v>2243</v>
      </c>
      <c r="F39" s="335">
        <v>11723054.410585901</v>
      </c>
    </row>
    <row r="40" spans="1:6">
      <c r="A40" s="1212" t="s">
        <v>30</v>
      </c>
      <c r="B40" s="1212" t="s">
        <v>29</v>
      </c>
      <c r="C40" s="335">
        <v>0</v>
      </c>
      <c r="D40" s="335">
        <v>0</v>
      </c>
      <c r="E40" s="335">
        <v>0</v>
      </c>
      <c r="F40" s="335">
        <v>0</v>
      </c>
    </row>
    <row r="41" spans="1:6">
      <c r="A41" s="1212" t="s">
        <v>32</v>
      </c>
      <c r="B41" s="1212" t="s">
        <v>33</v>
      </c>
      <c r="C41" s="335">
        <v>3</v>
      </c>
      <c r="D41" s="335">
        <v>96329.336844642196</v>
      </c>
      <c r="E41" s="335">
        <v>82</v>
      </c>
      <c r="F41" s="335">
        <v>2142122.2757435599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11</v>
      </c>
      <c r="D48" s="335">
        <v>294169.44070056902</v>
      </c>
      <c r="E48" s="335">
        <v>32</v>
      </c>
      <c r="F48" s="335">
        <v>2428328.1096696998</v>
      </c>
    </row>
    <row r="49" spans="1:6">
      <c r="A49" s="1212" t="s">
        <v>32</v>
      </c>
      <c r="B49" s="1212" t="s">
        <v>40</v>
      </c>
      <c r="C49" s="335">
        <v>0</v>
      </c>
      <c r="D49" s="335">
        <v>0</v>
      </c>
      <c r="E49" s="335">
        <v>0</v>
      </c>
      <c r="F49" s="335">
        <v>0</v>
      </c>
    </row>
    <row r="50" spans="1:6">
      <c r="A50" s="1212" t="s">
        <v>32</v>
      </c>
      <c r="B50" s="1212" t="s">
        <v>41</v>
      </c>
      <c r="C50" s="335">
        <v>0</v>
      </c>
      <c r="D50" s="335">
        <v>0</v>
      </c>
      <c r="E50" s="335">
        <v>0</v>
      </c>
      <c r="F50" s="335">
        <v>0</v>
      </c>
    </row>
    <row r="51" spans="1:6">
      <c r="A51" s="1212" t="s">
        <v>42</v>
      </c>
      <c r="B51" s="1212" t="s">
        <v>43</v>
      </c>
      <c r="C51" s="335">
        <v>4</v>
      </c>
      <c r="D51" s="335">
        <v>48602.429532307702</v>
      </c>
      <c r="E51" s="335">
        <v>101</v>
      </c>
      <c r="F51" s="335">
        <v>1263657.44099513</v>
      </c>
    </row>
    <row r="52" spans="1:6">
      <c r="A52" s="1212" t="s">
        <v>42</v>
      </c>
      <c r="B52" s="1212" t="s">
        <v>29</v>
      </c>
      <c r="C52" s="335">
        <v>0</v>
      </c>
      <c r="D52" s="335">
        <v>0</v>
      </c>
      <c r="E52" s="335">
        <v>7</v>
      </c>
      <c r="F52" s="335">
        <v>87975.730644454394</v>
      </c>
    </row>
    <row r="53" spans="1:6">
      <c r="A53" s="1212" t="s">
        <v>44</v>
      </c>
      <c r="B53" s="1212" t="s">
        <v>45</v>
      </c>
      <c r="C53" s="335">
        <v>11</v>
      </c>
      <c r="D53" s="335">
        <v>178173.07473776399</v>
      </c>
      <c r="E53" s="335">
        <v>83</v>
      </c>
      <c r="F53" s="335">
        <v>425320.82187705202</v>
      </c>
    </row>
    <row r="54" spans="1:6">
      <c r="A54" s="1212" t="s">
        <v>46</v>
      </c>
      <c r="B54" s="1212" t="s">
        <v>47</v>
      </c>
      <c r="C54" s="335">
        <v>0</v>
      </c>
      <c r="D54" s="335">
        <v>0</v>
      </c>
      <c r="E54" s="335">
        <v>1</v>
      </c>
      <c r="F54" s="335">
        <v>568958</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0</v>
      </c>
      <c r="D57" s="335">
        <v>0</v>
      </c>
      <c r="E57" s="335">
        <v>13</v>
      </c>
      <c r="F57" s="335">
        <v>81009.466348358299</v>
      </c>
    </row>
    <row r="58" spans="1:6">
      <c r="A58" s="1212" t="s">
        <v>49</v>
      </c>
      <c r="B58" s="1212" t="s">
        <v>51</v>
      </c>
      <c r="C58" s="335">
        <v>0</v>
      </c>
      <c r="D58" s="335">
        <v>0</v>
      </c>
      <c r="E58" s="335">
        <v>9</v>
      </c>
      <c r="F58" s="335">
        <v>112357.67121875301</v>
      </c>
    </row>
    <row r="59" spans="1:6">
      <c r="A59" s="1212" t="s">
        <v>49</v>
      </c>
      <c r="B59" s="1212" t="s">
        <v>52</v>
      </c>
      <c r="C59" s="335">
        <v>0</v>
      </c>
      <c r="D59" s="335">
        <v>0</v>
      </c>
      <c r="E59" s="335">
        <v>43</v>
      </c>
      <c r="F59" s="335">
        <v>482014.03139207698</v>
      </c>
    </row>
    <row r="60" spans="1:6">
      <c r="A60" s="1212" t="s">
        <v>49</v>
      </c>
      <c r="B60" s="1212" t="s">
        <v>53</v>
      </c>
      <c r="C60" s="335">
        <v>0</v>
      </c>
      <c r="D60" s="335">
        <v>0</v>
      </c>
      <c r="E60" s="335">
        <v>17</v>
      </c>
      <c r="F60" s="335">
        <v>542197.891184874</v>
      </c>
    </row>
    <row r="61" spans="1:6">
      <c r="A61" s="1212" t="s">
        <v>49</v>
      </c>
      <c r="B61" s="1212" t="s">
        <v>54</v>
      </c>
      <c r="C61" s="335">
        <v>11</v>
      </c>
      <c r="D61" s="335">
        <v>412205.05723020597</v>
      </c>
      <c r="E61" s="335">
        <v>106</v>
      </c>
      <c r="F61" s="335">
        <v>1449632.7317317</v>
      </c>
    </row>
    <row r="62" spans="1:6">
      <c r="A62" s="1212" t="s">
        <v>49</v>
      </c>
      <c r="B62" s="1212" t="s">
        <v>55</v>
      </c>
      <c r="C62" s="335">
        <v>0</v>
      </c>
      <c r="D62" s="335">
        <v>0</v>
      </c>
      <c r="E62" s="335">
        <v>0</v>
      </c>
      <c r="F62" s="335">
        <v>0</v>
      </c>
    </row>
    <row r="63" spans="1:6">
      <c r="A63" s="1212" t="s">
        <v>49</v>
      </c>
      <c r="B63" s="1212" t="s">
        <v>29</v>
      </c>
      <c r="C63" s="335">
        <v>30</v>
      </c>
      <c r="D63" s="335">
        <v>921830.99167526804</v>
      </c>
      <c r="E63" s="335">
        <v>87</v>
      </c>
      <c r="F63" s="335">
        <v>3401701.2046757801</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7</v>
      </c>
      <c r="F68" s="335">
        <v>155216.96804556201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15011977</v>
      </c>
      <c r="E73" s="335">
        <v>14790371.934057921</v>
      </c>
    </row>
    <row r="74" spans="1:6">
      <c r="A74" s="1212" t="s">
        <v>64</v>
      </c>
      <c r="B74" s="1212" t="s">
        <v>727</v>
      </c>
      <c r="C74" s="1212" t="s">
        <v>728</v>
      </c>
      <c r="D74" s="335">
        <v>891167.86167574441</v>
      </c>
      <c r="E74" s="335">
        <v>878208.81251850282</v>
      </c>
    </row>
    <row r="75" spans="1:6">
      <c r="A75" s="1212" t="s">
        <v>65</v>
      </c>
      <c r="B75" s="1212" t="s">
        <v>725</v>
      </c>
      <c r="C75" s="1212" t="s">
        <v>729</v>
      </c>
      <c r="D75" s="335">
        <v>22755235</v>
      </c>
      <c r="E75" s="335">
        <v>20771036.641086049</v>
      </c>
    </row>
    <row r="76" spans="1:6">
      <c r="A76" s="1212" t="s">
        <v>65</v>
      </c>
      <c r="B76" s="1212" t="s">
        <v>727</v>
      </c>
      <c r="C76" s="1212" t="s">
        <v>730</v>
      </c>
      <c r="D76" s="335">
        <v>788851.86167574441</v>
      </c>
      <c r="E76" s="335">
        <v>739454.91344595037</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142814.27664851118</v>
      </c>
      <c r="C83" s="335">
        <v>142524.82466622951</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1089.4285113286862</v>
      </c>
    </row>
    <row r="92" spans="1:6">
      <c r="A92" s="1208" t="s">
        <v>69</v>
      </c>
      <c r="B92" s="338">
        <v>1882.9394989222044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7</v>
      </c>
    </row>
    <row r="98" spans="1:6">
      <c r="A98" s="1212" t="s">
        <v>72</v>
      </c>
      <c r="B98" s="335">
        <v>1</v>
      </c>
    </row>
    <row r="99" spans="1:6">
      <c r="A99" s="1212" t="s">
        <v>73</v>
      </c>
      <c r="B99" s="335">
        <v>72</v>
      </c>
    </row>
    <row r="100" spans="1:6">
      <c r="A100" s="1212" t="s">
        <v>74</v>
      </c>
      <c r="B100" s="335">
        <v>217</v>
      </c>
    </row>
    <row r="101" spans="1:6">
      <c r="A101" s="1212" t="s">
        <v>75</v>
      </c>
      <c r="B101" s="335">
        <v>54</v>
      </c>
    </row>
    <row r="102" spans="1:6">
      <c r="A102" s="1212" t="s">
        <v>76</v>
      </c>
      <c r="B102" s="335">
        <v>37</v>
      </c>
    </row>
    <row r="103" spans="1:6">
      <c r="A103" s="1212" t="s">
        <v>77</v>
      </c>
      <c r="B103" s="335">
        <v>154</v>
      </c>
    </row>
    <row r="104" spans="1:6">
      <c r="A104" s="1212" t="s">
        <v>78</v>
      </c>
      <c r="B104" s="335">
        <v>1613</v>
      </c>
    </row>
    <row r="105" spans="1:6">
      <c r="A105" s="1208" t="s">
        <v>79</v>
      </c>
      <c r="B105" s="1208">
        <v>6</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19</v>
      </c>
      <c r="C123" s="335">
        <v>19</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58</v>
      </c>
    </row>
    <row r="130" spans="1:6">
      <c r="A130" s="1212" t="s">
        <v>295</v>
      </c>
      <c r="B130" s="335">
        <v>0</v>
      </c>
    </row>
    <row r="131" spans="1:6">
      <c r="A131" s="1212" t="s">
        <v>296</v>
      </c>
      <c r="B131" s="335">
        <v>1</v>
      </c>
    </row>
    <row r="132" spans="1:6">
      <c r="A132" s="1208" t="s">
        <v>297</v>
      </c>
      <c r="B132" s="338">
        <v>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25374.499714323345</v>
      </c>
      <c r="C3" s="43" t="s">
        <v>170</v>
      </c>
      <c r="D3" s="43"/>
      <c r="E3" s="156"/>
      <c r="F3" s="43"/>
      <c r="G3" s="43"/>
      <c r="H3" s="43"/>
      <c r="I3" s="43"/>
      <c r="J3" s="43"/>
      <c r="K3" s="96"/>
    </row>
    <row r="4" spans="1:11">
      <c r="A4" s="366" t="s">
        <v>171</v>
      </c>
      <c r="B4" s="49">
        <f>IF(ISERROR('SEAP template'!B69),0,'SEAP template'!B69)</f>
        <v>3016.0180102508907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0.19473189667699342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62.357142857142847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568.95799999999997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568.95799999999997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0.19473189667699342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110.79427046954882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11723.054410585901</v>
      </c>
      <c r="C5" s="17">
        <f>IF(ISERROR('Eigen informatie GS &amp; warmtenet'!B57),0,'Eigen informatie GS &amp; warmtenet'!B57)</f>
        <v>0</v>
      </c>
      <c r="D5" s="30">
        <f>(SUM(HH_hh_gas_kWh,HH_rest_gas_kWh)/1000)*0.902</f>
        <v>9081.7501428536689</v>
      </c>
      <c r="E5" s="17">
        <f>B46*B57</f>
        <v>2948.1401176540262</v>
      </c>
      <c r="F5" s="17">
        <f>B51*B62</f>
        <v>27314.887033079944</v>
      </c>
      <c r="G5" s="18"/>
      <c r="H5" s="17"/>
      <c r="I5" s="17"/>
      <c r="J5" s="17">
        <f>B50*B61+C50*C61</f>
        <v>3856.7554672439996</v>
      </c>
      <c r="K5" s="17"/>
      <c r="L5" s="17"/>
      <c r="M5" s="17"/>
      <c r="N5" s="17">
        <f>B48*B59+C48*C59</f>
        <v>8289.2723900413821</v>
      </c>
      <c r="O5" s="17">
        <f>B69*B70*B71</f>
        <v>120.37666666666668</v>
      </c>
      <c r="P5" s="17">
        <f>B77*B78*B79/1000-B77*B78*B79/1000/B80</f>
        <v>495.73333333333335</v>
      </c>
    </row>
    <row r="6" spans="1:16">
      <c r="A6" s="16" t="s">
        <v>634</v>
      </c>
      <c r="B6" s="831">
        <f>kWh_PV_kleiner_dan_10kW</f>
        <v>1089.4285113286862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12812.482921914587</v>
      </c>
      <c r="C8" s="21">
        <f>C5</f>
        <v>0</v>
      </c>
      <c r="D8" s="21">
        <f>D5</f>
        <v>9081.7501428536689</v>
      </c>
      <c r="E8" s="21">
        <f>E5</f>
        <v>2948.1401176540262</v>
      </c>
      <c r="F8" s="21">
        <f>F5</f>
        <v>27314.887033079944</v>
      </c>
      <c r="G8" s="21"/>
      <c r="H8" s="21"/>
      <c r="I8" s="21"/>
      <c r="J8" s="21">
        <f>J5</f>
        <v>3856.7554672439996</v>
      </c>
      <c r="K8" s="21"/>
      <c r="L8" s="21">
        <f>L5</f>
        <v>0</v>
      </c>
      <c r="M8" s="21">
        <f>M5</f>
        <v>0</v>
      </c>
      <c r="N8" s="21">
        <f>N5</f>
        <v>8289.2723900413821</v>
      </c>
      <c r="O8" s="21">
        <f>O5</f>
        <v>120.37666666666668</v>
      </c>
      <c r="P8" s="21">
        <f>P5</f>
        <v>495.73333333333335</v>
      </c>
    </row>
    <row r="9" spans="1:16">
      <c r="B9" s="19"/>
      <c r="C9" s="19"/>
      <c r="D9" s="261"/>
      <c r="E9" s="19"/>
      <c r="F9" s="19"/>
      <c r="G9" s="19"/>
      <c r="H9" s="19"/>
      <c r="I9" s="19"/>
      <c r="J9" s="19"/>
      <c r="K9" s="19"/>
      <c r="L9" s="19"/>
      <c r="M9" s="19"/>
      <c r="N9" s="19"/>
      <c r="O9" s="19"/>
      <c r="P9" s="19"/>
    </row>
    <row r="10" spans="1:16">
      <c r="A10" s="24" t="s">
        <v>214</v>
      </c>
      <c r="B10" s="25">
        <f ca="1">'EF ele_warmte'!B12</f>
        <v>0.19473189667699342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2494.999100526014</v>
      </c>
      <c r="C12" s="23">
        <f ca="1">C10*C8</f>
        <v>0</v>
      </c>
      <c r="D12" s="23">
        <f>D8*D10</f>
        <v>1834.5135288564413</v>
      </c>
      <c r="E12" s="23">
        <f>E10*E8</f>
        <v>669.22780670746397</v>
      </c>
      <c r="F12" s="23">
        <f>F10*F8</f>
        <v>7293.0748378323451</v>
      </c>
      <c r="G12" s="23"/>
      <c r="H12" s="23"/>
      <c r="I12" s="23"/>
      <c r="J12" s="23">
        <f>J10*J8</f>
        <v>1365.2914354043758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v>
      </c>
      <c r="C18" s="168" t="s">
        <v>111</v>
      </c>
      <c r="D18" s="230"/>
      <c r="E18" s="15"/>
    </row>
    <row r="19" spans="1:7">
      <c r="A19" s="173" t="s">
        <v>72</v>
      </c>
      <c r="B19" s="37">
        <f>aantalw2001_ander</f>
        <v>1</v>
      </c>
      <c r="C19" s="168" t="s">
        <v>111</v>
      </c>
      <c r="D19" s="231"/>
      <c r="E19" s="15"/>
    </row>
    <row r="20" spans="1:7">
      <c r="A20" s="173" t="s">
        <v>73</v>
      </c>
      <c r="B20" s="37">
        <f>aantalw2001_propaan</f>
        <v>72</v>
      </c>
      <c r="C20" s="169">
        <f>IF(ISERROR(B20/SUM($B$20,$B$21,$B$22)*100),0,B20/SUM($B$20,$B$21,$B$22)*100)</f>
        <v>20.99125364431487</v>
      </c>
      <c r="D20" s="231"/>
      <c r="E20" s="15"/>
    </row>
    <row r="21" spans="1:7">
      <c r="A21" s="173" t="s">
        <v>74</v>
      </c>
      <c r="B21" s="37">
        <f>aantalw2001_elektriciteit</f>
        <v>217</v>
      </c>
      <c r="C21" s="169">
        <f>IF(ISERROR(B21/SUM($B$20,$B$21,$B$22)*100),0,B21/SUM($B$20,$B$21,$B$22)*100)</f>
        <v>63.265306122448983</v>
      </c>
      <c r="D21" s="231"/>
      <c r="E21" s="15"/>
    </row>
    <row r="22" spans="1:7">
      <c r="A22" s="173" t="s">
        <v>75</v>
      </c>
      <c r="B22" s="37">
        <f>aantalw2001_hout</f>
        <v>54</v>
      </c>
      <c r="C22" s="169">
        <f>IF(ISERROR(B22/SUM($B$20,$B$21,$B$22)*100),0,B22/SUM($B$20,$B$21,$B$22)*100)</f>
        <v>15.743440233236154</v>
      </c>
      <c r="D22" s="231"/>
      <c r="E22" s="15"/>
    </row>
    <row r="23" spans="1:7">
      <c r="A23" s="173" t="s">
        <v>76</v>
      </c>
      <c r="B23" s="37">
        <f>aantalw2001_niet_gespec</f>
        <v>37</v>
      </c>
      <c r="C23" s="168" t="s">
        <v>111</v>
      </c>
      <c r="D23" s="230"/>
      <c r="E23" s="15"/>
    </row>
    <row r="24" spans="1:7">
      <c r="A24" s="173" t="s">
        <v>77</v>
      </c>
      <c r="B24" s="37">
        <f>aantalw2001_steenkool</f>
        <v>154</v>
      </c>
      <c r="C24" s="168" t="s">
        <v>111</v>
      </c>
      <c r="D24" s="231"/>
      <c r="E24" s="15"/>
    </row>
    <row r="25" spans="1:7">
      <c r="A25" s="173" t="s">
        <v>78</v>
      </c>
      <c r="B25" s="37">
        <f>aantalw2001_stookolie</f>
        <v>1613</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2474</v>
      </c>
      <c r="C28" s="36"/>
      <c r="D28" s="230"/>
    </row>
    <row r="29" spans="1:7" s="15" customFormat="1">
      <c r="A29" s="232" t="s">
        <v>746</v>
      </c>
      <c r="B29" s="37">
        <f>SUM(HH_hh_gas_aantal,HH_rest_gas_aantal)</f>
        <v>599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599</v>
      </c>
      <c r="C32" s="169">
        <f>IF(ISERROR(B32/SUM($B$32,$B$34,$B$35,$B$36,$B$38,$B$39)*100),0,B32/SUM($B$32,$B$34,$B$35,$B$36,$B$38,$B$39)*100)</f>
        <v>24.468954248366011</v>
      </c>
      <c r="D32" s="235"/>
      <c r="G32" s="15"/>
    </row>
    <row r="33" spans="1:7">
      <c r="A33" s="173" t="s">
        <v>72</v>
      </c>
      <c r="B33" s="34" t="s">
        <v>111</v>
      </c>
      <c r="C33" s="169"/>
      <c r="D33" s="235"/>
      <c r="G33" s="15"/>
    </row>
    <row r="34" spans="1:7">
      <c r="A34" s="173" t="s">
        <v>73</v>
      </c>
      <c r="B34" s="33">
        <f>IF((($B$28-$B$32-$B$39-$B$77-$B$38)*C20/100)&lt;0,0,($B$28-$B$32-$B$39-$B$77-$B$38)*C20/100)</f>
        <v>141.48104956268227</v>
      </c>
      <c r="C34" s="169">
        <f>IF(ISERROR(B34/SUM($B$32,$B$34,$B$35,$B$36,$B$38,$B$39)*100),0,B34/SUM($B$32,$B$34,$B$35,$B$36,$B$38,$B$39)*100)</f>
        <v>5.7794546389984589</v>
      </c>
      <c r="D34" s="235"/>
      <c r="G34" s="15"/>
    </row>
    <row r="35" spans="1:7">
      <c r="A35" s="173" t="s">
        <v>74</v>
      </c>
      <c r="B35" s="33">
        <f>IF((($B$28-$B$32-$B$39-$B$77-$B$38)*C21/100)&lt;0,0,($B$28-$B$32-$B$39-$B$77-$B$38)*C21/100)</f>
        <v>426.40816326530626</v>
      </c>
      <c r="C35" s="169">
        <f>IF(ISERROR(B35/SUM($B$32,$B$34,$B$35,$B$36,$B$38,$B$39)*100),0,B35/SUM($B$32,$B$34,$B$35,$B$36,$B$38,$B$39)*100)</f>
        <v>17.418634120314799</v>
      </c>
      <c r="D35" s="235"/>
      <c r="G35" s="15"/>
    </row>
    <row r="36" spans="1:7">
      <c r="A36" s="173" t="s">
        <v>75</v>
      </c>
      <c r="B36" s="33">
        <f>IF((($B$28-$B$32-$B$39-$B$77-$B$38)*C22/100)&lt;0,0,($B$28-$B$32-$B$39-$B$77-$B$38)*C22/100)</f>
        <v>106.11078717201171</v>
      </c>
      <c r="C36" s="169">
        <f>IF(ISERROR(B36/SUM($B$32,$B$34,$B$35,$B$36,$B$38,$B$39)*100),0,B36/SUM($B$32,$B$34,$B$35,$B$36,$B$38,$B$39)*100)</f>
        <v>4.3345909792488442</v>
      </c>
      <c r="D36" s="235"/>
      <c r="G36" s="15"/>
    </row>
    <row r="37" spans="1:7">
      <c r="A37" s="173" t="s">
        <v>76</v>
      </c>
      <c r="B37" s="34" t="s">
        <v>111</v>
      </c>
      <c r="C37" s="169"/>
      <c r="D37" s="175"/>
      <c r="G37" s="15"/>
    </row>
    <row r="38" spans="1:7">
      <c r="A38" s="173" t="s">
        <v>77</v>
      </c>
      <c r="B38" s="33">
        <f>IF((B24-(B29-B18)*0.1)&lt;0,0,B24-(B29-B18)*0.1)</f>
        <v>94.8</v>
      </c>
      <c r="C38" s="169">
        <f>IF(ISERROR(B38/SUM($B$32,$B$34,$B$35,$B$36,$B$38,$B$39)*100),0,B38/SUM($B$32,$B$34,$B$35,$B$36,$B$38,$B$39)*100)</f>
        <v>3.8725490196078431</v>
      </c>
      <c r="D38" s="236"/>
      <c r="G38" s="15"/>
    </row>
    <row r="39" spans="1:7">
      <c r="A39" s="173" t="s">
        <v>78</v>
      </c>
      <c r="B39" s="33">
        <f>IF((B25-(B29-B18))&lt;0,0,B25-(B29-B18)*0.9)</f>
        <v>1080.1999999999998</v>
      </c>
      <c r="C39" s="169">
        <f>IF(ISERROR(B39/SUM($B$32,$B$34,$B$35,$B$36,$B$38,$B$39)*100),0,B39/SUM($B$32,$B$34,$B$35,$B$36,$B$38,$B$39)*100)</f>
        <v>44.125816993464042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599</v>
      </c>
      <c r="C44" s="34" t="s">
        <v>111</v>
      </c>
      <c r="D44" s="176"/>
    </row>
    <row r="45" spans="1:7">
      <c r="A45" s="173" t="s">
        <v>72</v>
      </c>
      <c r="B45" s="33" t="str">
        <f t="shared" si="0"/>
        <v>-</v>
      </c>
      <c r="C45" s="34" t="s">
        <v>111</v>
      </c>
      <c r="D45" s="176"/>
    </row>
    <row r="46" spans="1:7">
      <c r="A46" s="173" t="s">
        <v>73</v>
      </c>
      <c r="B46" s="33">
        <f t="shared" si="0"/>
        <v>141.48104956268227</v>
      </c>
      <c r="C46" s="34" t="s">
        <v>111</v>
      </c>
      <c r="D46" s="176"/>
    </row>
    <row r="47" spans="1:7">
      <c r="A47" s="173" t="s">
        <v>74</v>
      </c>
      <c r="B47" s="33">
        <f t="shared" si="0"/>
        <v>426.40816326530626</v>
      </c>
      <c r="C47" s="34" t="s">
        <v>111</v>
      </c>
      <c r="D47" s="176"/>
    </row>
    <row r="48" spans="1:7">
      <c r="A48" s="173" t="s">
        <v>75</v>
      </c>
      <c r="B48" s="33">
        <f t="shared" si="0"/>
        <v>106.11078717201171</v>
      </c>
      <c r="C48" s="33">
        <f>B48*10</f>
        <v>1061.1078717201171</v>
      </c>
      <c r="D48" s="236"/>
    </row>
    <row r="49" spans="1:6">
      <c r="A49" s="173" t="s">
        <v>76</v>
      </c>
      <c r="B49" s="33" t="str">
        <f t="shared" si="0"/>
        <v>-</v>
      </c>
      <c r="C49" s="34" t="s">
        <v>111</v>
      </c>
      <c r="D49" s="236"/>
    </row>
    <row r="50" spans="1:6">
      <c r="A50" s="173" t="s">
        <v>77</v>
      </c>
      <c r="B50" s="33">
        <f t="shared" si="0"/>
        <v>94.8</v>
      </c>
      <c r="C50" s="33">
        <f>B50*2</f>
        <v>189.6</v>
      </c>
      <c r="D50" s="236"/>
    </row>
    <row r="51" spans="1:6">
      <c r="A51" s="173" t="s">
        <v>78</v>
      </c>
      <c r="B51" s="33">
        <f t="shared" si="0"/>
        <v>1080.1999999999998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6068.9129965515422</v>
      </c>
      <c r="C5" s="17">
        <f>IF(ISERROR('Eigen informatie GS &amp; warmtenet'!B58),0,'Eigen informatie GS &amp; warmtenet'!B58)</f>
        <v>0</v>
      </c>
      <c r="D5" s="30">
        <f>SUM(D6:D12)</f>
        <v>1203.3005161127376</v>
      </c>
      <c r="E5" s="17">
        <f>SUM(E6:E12)</f>
        <v>84.875261542854076</v>
      </c>
      <c r="F5" s="17">
        <f>SUM(F6:F12)</f>
        <v>1176.2937027432133</v>
      </c>
      <c r="G5" s="18"/>
      <c r="H5" s="17"/>
      <c r="I5" s="17"/>
      <c r="J5" s="17">
        <f>SUM(J6:J12)</f>
        <v>0</v>
      </c>
      <c r="K5" s="17"/>
      <c r="L5" s="17"/>
      <c r="M5" s="17"/>
      <c r="N5" s="17">
        <f>SUM(N6:N12)</f>
        <v>329.96523789654344</v>
      </c>
      <c r="O5" s="17">
        <f>B38*B39*B40</f>
        <v>0</v>
      </c>
      <c r="P5" s="17">
        <f>B46*B47*B48/1000-B46*B47*B48/1000/B49</f>
        <v>19.066666666666666</v>
      </c>
      <c r="R5" s="32"/>
    </row>
    <row r="6" spans="1:18">
      <c r="A6" s="32" t="s">
        <v>54</v>
      </c>
      <c r="B6" s="37">
        <f>B26</f>
        <v>1449.6327317317</v>
      </c>
      <c r="C6" s="33"/>
      <c r="D6" s="37">
        <f>IF(ISERROR(TER_kantoor_gas_kWh/1000),0,TER_kantoor_gas_kWh/1000)*0.902</f>
        <v>371.80896162164578</v>
      </c>
      <c r="E6" s="33">
        <f>$C$26*'E Balans VL '!I12/100/3.6*1000000</f>
        <v>5.6321300679087418</v>
      </c>
      <c r="F6" s="33">
        <f>$C$26*('E Balans VL '!L12+'E Balans VL '!N12)/100/3.6*1000000</f>
        <v>220.47594789017921</v>
      </c>
      <c r="G6" s="34"/>
      <c r="H6" s="33"/>
      <c r="I6" s="33"/>
      <c r="J6" s="33">
        <f>$C$26*('E Balans VL '!D12+'E Balans VL '!E12)/100/3.6*1000000</f>
        <v>0</v>
      </c>
      <c r="K6" s="33"/>
      <c r="L6" s="33"/>
      <c r="M6" s="33"/>
      <c r="N6" s="33">
        <f>$C$26*'E Balans VL '!Y12/100/3.6*1000000</f>
        <v>0.79892129690867097</v>
      </c>
      <c r="O6" s="33"/>
      <c r="P6" s="33"/>
      <c r="R6" s="32"/>
    </row>
    <row r="7" spans="1:18">
      <c r="A7" s="32" t="s">
        <v>53</v>
      </c>
      <c r="B7" s="37">
        <f t="shared" ref="B7:B12" si="0">B27</f>
        <v>542.19789118487404</v>
      </c>
      <c r="C7" s="33"/>
      <c r="D7" s="37">
        <f>IF(ISERROR(TER_horeca_gas_kWh/1000),0,TER_horeca_gas_kWh/1000)*0.902</f>
        <v>0</v>
      </c>
      <c r="E7" s="33">
        <f>$C$27*'E Balans VL '!I9/100/3.6*1000000</f>
        <v>30.542152170142771</v>
      </c>
      <c r="F7" s="33">
        <f>$C$27*('E Balans VL '!L9+'E Balans VL '!N9)/100/3.6*1000000</f>
        <v>156.33741109262556</v>
      </c>
      <c r="G7" s="34"/>
      <c r="H7" s="33"/>
      <c r="I7" s="33"/>
      <c r="J7" s="33">
        <f>$C$27*('E Balans VL '!D9+'E Balans VL '!E9)/100/3.6*1000000</f>
        <v>0</v>
      </c>
      <c r="K7" s="33"/>
      <c r="L7" s="33"/>
      <c r="M7" s="33"/>
      <c r="N7" s="33">
        <f>$C$27*'E Balans VL '!Y9/100/3.6*1000000</f>
        <v>0.1496980202308088</v>
      </c>
      <c r="O7" s="33"/>
      <c r="P7" s="33"/>
      <c r="R7" s="32"/>
    </row>
    <row r="8" spans="1:18">
      <c r="A8" s="6" t="s">
        <v>52</v>
      </c>
      <c r="B8" s="37">
        <f t="shared" si="0"/>
        <v>482.01403139207696</v>
      </c>
      <c r="C8" s="33"/>
      <c r="D8" s="37">
        <f>IF(ISERROR(TER_handel_gas_kWh/1000),0,TER_handel_gas_kWh/1000)*0.902</f>
        <v>0</v>
      </c>
      <c r="E8" s="33">
        <f>$C$28*'E Balans VL '!I13/100/3.6*1000000</f>
        <v>6.9474575032946824</v>
      </c>
      <c r="F8" s="33">
        <f>$C$28*('E Balans VL '!L13+'E Balans VL '!N13)/100/3.6*1000000</f>
        <v>83.737062602121199</v>
      </c>
      <c r="G8" s="34"/>
      <c r="H8" s="33"/>
      <c r="I8" s="33"/>
      <c r="J8" s="33">
        <f>$C$28*('E Balans VL '!D13+'E Balans VL '!E13)/100/3.6*1000000</f>
        <v>0</v>
      </c>
      <c r="K8" s="33"/>
      <c r="L8" s="33"/>
      <c r="M8" s="33"/>
      <c r="N8" s="33">
        <f>$C$28*'E Balans VL '!Y13/100/3.6*1000000</f>
        <v>1.4441676969580188</v>
      </c>
      <c r="O8" s="33"/>
      <c r="P8" s="33"/>
      <c r="R8" s="32"/>
    </row>
    <row r="9" spans="1:18">
      <c r="A9" s="32" t="s">
        <v>51</v>
      </c>
      <c r="B9" s="37">
        <f t="shared" si="0"/>
        <v>112.35767121875301</v>
      </c>
      <c r="C9" s="33"/>
      <c r="D9" s="37">
        <f>IF(ISERROR(TER_gezond_gas_kWh/1000),0,TER_gezond_gas_kWh/1000)*0.902</f>
        <v>0</v>
      </c>
      <c r="E9" s="33">
        <f>$C$29*'E Balans VL '!I10/100/3.6*1000000</f>
        <v>0.12002711490053514</v>
      </c>
      <c r="F9" s="33">
        <f>$C$29*('E Balans VL '!L10+'E Balans VL '!N10)/100/3.6*1000000</f>
        <v>18.328950853543553</v>
      </c>
      <c r="G9" s="34"/>
      <c r="H9" s="33"/>
      <c r="I9" s="33"/>
      <c r="J9" s="33">
        <f>$C$29*('E Balans VL '!D10+'E Balans VL '!E10)/100/3.6*1000000</f>
        <v>0</v>
      </c>
      <c r="K9" s="33"/>
      <c r="L9" s="33"/>
      <c r="M9" s="33"/>
      <c r="N9" s="33">
        <f>$C$29*'E Balans VL '!Y10/100/3.6*1000000</f>
        <v>1.1566581151888791</v>
      </c>
      <c r="O9" s="33"/>
      <c r="P9" s="33"/>
      <c r="R9" s="32"/>
    </row>
    <row r="10" spans="1:18">
      <c r="A10" s="32" t="s">
        <v>50</v>
      </c>
      <c r="B10" s="37">
        <f t="shared" si="0"/>
        <v>81.009466348358302</v>
      </c>
      <c r="C10" s="33"/>
      <c r="D10" s="37">
        <f>IF(ISERROR(TER_ander_gas_kWh/1000),0,TER_ander_gas_kWh/1000)*0.902</f>
        <v>0</v>
      </c>
      <c r="E10" s="33">
        <f>$C$30*'E Balans VL '!I14/100/3.6*1000000</f>
        <v>0.3725502132815276</v>
      </c>
      <c r="F10" s="33">
        <f>$C$30*('E Balans VL '!L14+'E Balans VL '!N14)/100/3.6*1000000</f>
        <v>24.281092332834771</v>
      </c>
      <c r="G10" s="34"/>
      <c r="H10" s="33"/>
      <c r="I10" s="33"/>
      <c r="J10" s="33">
        <f>$C$30*('E Balans VL '!D14+'E Balans VL '!E14)/100/3.6*1000000</f>
        <v>0</v>
      </c>
      <c r="K10" s="33"/>
      <c r="L10" s="33"/>
      <c r="M10" s="33"/>
      <c r="N10" s="33">
        <f>$C$30*'E Balans VL '!Y14/100/3.6*1000000</f>
        <v>56.387936075601836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3401.70120467578</v>
      </c>
      <c r="C12" s="33"/>
      <c r="D12" s="37">
        <f>IF(ISERROR(TER_rest_gas_kWh/1000),0,TER_rest_gas_kWh/1000)*0.902</f>
        <v>831.49155449109173</v>
      </c>
      <c r="E12" s="33">
        <f>$C$32*'E Balans VL '!I8/100/3.6*1000000</f>
        <v>41.260944473325829</v>
      </c>
      <c r="F12" s="33">
        <f>$C$32*('E Balans VL '!L8+'E Balans VL '!N8)/100/3.6*1000000</f>
        <v>673.13323797190901</v>
      </c>
      <c r="G12" s="34"/>
      <c r="H12" s="33"/>
      <c r="I12" s="33"/>
      <c r="J12" s="33">
        <f>$C$32*('E Balans VL '!D8+'E Balans VL '!E8)/100/3.6*1000000</f>
        <v>0</v>
      </c>
      <c r="K12" s="33"/>
      <c r="L12" s="33"/>
      <c r="M12" s="33"/>
      <c r="N12" s="33">
        <f>$C$32*'E Balans VL '!Y8/100/3.6*1000000</f>
        <v>270.02785669165524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6068.9129965515422</v>
      </c>
      <c r="C16" s="21">
        <f t="shared" ca="1" si="1"/>
        <v>0</v>
      </c>
      <c r="D16" s="21">
        <f t="shared" ca="1" si="1"/>
        <v>1203.3005161127376</v>
      </c>
      <c r="E16" s="21">
        <f t="shared" si="1"/>
        <v>84.875261542854076</v>
      </c>
      <c r="F16" s="21">
        <f t="shared" ca="1" si="1"/>
        <v>1176.2937027432133</v>
      </c>
      <c r="G16" s="21">
        <f t="shared" si="1"/>
        <v>0</v>
      </c>
      <c r="H16" s="21">
        <f t="shared" si="1"/>
        <v>0</v>
      </c>
      <c r="I16" s="21">
        <f t="shared" si="1"/>
        <v>0</v>
      </c>
      <c r="J16" s="21">
        <f t="shared" si="1"/>
        <v>0</v>
      </c>
      <c r="K16" s="21">
        <f t="shared" si="1"/>
        <v>0</v>
      </c>
      <c r="L16" s="21">
        <f t="shared" ca="1" si="1"/>
        <v>0</v>
      </c>
      <c r="M16" s="21">
        <f t="shared" si="1"/>
        <v>0</v>
      </c>
      <c r="N16" s="21">
        <f t="shared" ca="1" si="1"/>
        <v>329.96523789654344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0.19473189667699342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1181.8109385861374</v>
      </c>
      <c r="C20" s="23">
        <f t="shared" ref="C20:P20" ca="1" si="2">C16*C18</f>
        <v>0</v>
      </c>
      <c r="D20" s="23">
        <f t="shared" ca="1" si="2"/>
        <v>243.06670425477301</v>
      </c>
      <c r="E20" s="23">
        <f t="shared" si="2"/>
        <v>19.266684370227875</v>
      </c>
      <c r="F20" s="23">
        <f t="shared" ca="1" si="2"/>
        <v>314.07041863243796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1449.6327317317</v>
      </c>
      <c r="C26" s="39">
        <f>IF(ISERROR(B26*3.6/1000000/'E Balans VL '!Z12*100),0,B26*3.6/1000000/'E Balans VL '!Z12*100)</f>
        <v>3.0790917276690775E-2</v>
      </c>
      <c r="D26" s="239" t="s">
        <v>692</v>
      </c>
      <c r="F26" s="6"/>
    </row>
    <row r="27" spans="1:18">
      <c r="A27" s="233" t="s">
        <v>53</v>
      </c>
      <c r="B27" s="33">
        <f>IF(ISERROR(TER_horeca_ele_kWh/1000),0,TER_horeca_ele_kWh/1000)</f>
        <v>542.19789118487404</v>
      </c>
      <c r="C27" s="39">
        <f>IF(ISERROR(B27*3.6/1000000/'E Balans VL '!Z9*100),0,B27*3.6/1000000/'E Balans VL '!Z9*100)</f>
        <v>4.215918806723308E-2</v>
      </c>
      <c r="D27" s="239" t="s">
        <v>692</v>
      </c>
      <c r="F27" s="6"/>
    </row>
    <row r="28" spans="1:18">
      <c r="A28" s="173" t="s">
        <v>52</v>
      </c>
      <c r="B28" s="33">
        <f>IF(ISERROR(TER_handel_ele_kWh/1000),0,TER_handel_ele_kWh/1000)</f>
        <v>482.01403139207696</v>
      </c>
      <c r="C28" s="39">
        <f>IF(ISERROR(B28*3.6/1000000/'E Balans VL '!Z13*100),0,B28*3.6/1000000/'E Balans VL '!Z13*100)</f>
        <v>1.3790988711894993E-2</v>
      </c>
      <c r="D28" s="239" t="s">
        <v>692</v>
      </c>
      <c r="F28" s="6"/>
    </row>
    <row r="29" spans="1:18">
      <c r="A29" s="233" t="s">
        <v>51</v>
      </c>
      <c r="B29" s="33">
        <f>IF(ISERROR(TER_gezond_ele_kWh/1000),0,TER_gezond_ele_kWh/1000)</f>
        <v>112.35767121875301</v>
      </c>
      <c r="C29" s="39">
        <f>IF(ISERROR(B29*3.6/1000000/'E Balans VL '!Z10*100),0,B29*3.6/1000000/'E Balans VL '!Z10*100)</f>
        <v>1.2249597041995698E-2</v>
      </c>
      <c r="D29" s="239" t="s">
        <v>692</v>
      </c>
      <c r="F29" s="6"/>
    </row>
    <row r="30" spans="1:18">
      <c r="A30" s="233" t="s">
        <v>50</v>
      </c>
      <c r="B30" s="33">
        <f>IF(ISERROR(TER_ander_ele_kWh/1000),0,TER_ander_ele_kWh/1000)</f>
        <v>81.009466348358302</v>
      </c>
      <c r="C30" s="39">
        <f>IF(ISERROR(B30*3.6/1000000/'E Balans VL '!Z14*100),0,B30*3.6/1000000/'E Balans VL '!Z14*100)</f>
        <v>5.9280889817546955E-3</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3401.70120467578</v>
      </c>
      <c r="C32" s="39">
        <f>IF(ISERROR(B32*3.6/1000000/'E Balans VL '!Z8*100),0,B32*3.6/1000000/'E Balans VL '!Z8*100)</f>
        <v>2.7721800430536354E-2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4570.4503854132599</v>
      </c>
      <c r="C5" s="17">
        <f>IF(ISERROR('Eigen informatie GS &amp; warmtenet'!B59),0,'Eigen informatie GS &amp; warmtenet'!B59)</f>
        <v>0</v>
      </c>
      <c r="D5" s="30">
        <f>SUM(D6:D15)</f>
        <v>352.2298973457805</v>
      </c>
      <c r="E5" s="17">
        <f>SUM(E6:E15)</f>
        <v>715.29180108208755</v>
      </c>
      <c r="F5" s="17">
        <f>SUM(F6:F15)</f>
        <v>1997.7305760787324</v>
      </c>
      <c r="G5" s="18"/>
      <c r="H5" s="17"/>
      <c r="I5" s="17"/>
      <c r="J5" s="17">
        <f>SUM(J6:J15)</f>
        <v>6.2239576534796663</v>
      </c>
      <c r="K5" s="17"/>
      <c r="L5" s="17"/>
      <c r="M5" s="17"/>
      <c r="N5" s="17">
        <f>SUM(N6:N15)</f>
        <v>1175.9343246226351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2142.1222757435598</v>
      </c>
      <c r="C9" s="33"/>
      <c r="D9" s="37">
        <f>IF( ISERROR(IND_andere_gas_kWh/1000),0,IND_andere_gas_kWh/1000)*0.902</f>
        <v>86.88906183386726</v>
      </c>
      <c r="E9" s="33">
        <f>C31*'E Balans VL '!I19/100/3.6*1000000</f>
        <v>579.81983159674814</v>
      </c>
      <c r="F9" s="33">
        <f>C31*'E Balans VL '!L19/100/3.6*1000000+C31*'E Balans VL '!N19/100/3.6*1000000</f>
        <v>1426.8801195340386</v>
      </c>
      <c r="G9" s="34"/>
      <c r="H9" s="33"/>
      <c r="I9" s="33"/>
      <c r="J9" s="40">
        <f>C31*'E Balans VL '!D19/100/3.6*1000000+C31*'E Balans VL '!E19/100/3.6*1000000</f>
        <v>0</v>
      </c>
      <c r="K9" s="33"/>
      <c r="L9" s="33"/>
      <c r="M9" s="33"/>
      <c r="N9" s="33">
        <f>C31*'E Balans VL '!Y19/100/3.6*1000000</f>
        <v>699.36733933291612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2428.3281096696996</v>
      </c>
      <c r="C15" s="33"/>
      <c r="D15" s="37">
        <f>IF( ISERROR(IND_rest_gas_kWh/1000),0,IND_rest_gas_kWh/1000)*0.902</f>
        <v>265.34083551191327</v>
      </c>
      <c r="E15" s="33">
        <f>C37*'E Balans VL '!I15/100/3.6*1000000</f>
        <v>135.47196948533937</v>
      </c>
      <c r="F15" s="33">
        <f>C37*'E Balans VL '!L15/100/3.6*1000000+C37*'E Balans VL '!N15/100/3.6*1000000</f>
        <v>570.85045654469377</v>
      </c>
      <c r="G15" s="34"/>
      <c r="H15" s="33"/>
      <c r="I15" s="33"/>
      <c r="J15" s="40">
        <f>C37*'E Balans VL '!D15/100/3.6*1000000+C37*'E Balans VL '!E15/100/3.6*1000000</f>
        <v>6.2239576534796663</v>
      </c>
      <c r="K15" s="33"/>
      <c r="L15" s="33"/>
      <c r="M15" s="33"/>
      <c r="N15" s="33">
        <f>C37*'E Balans VL '!Y15/100/3.6*1000000</f>
        <v>476.56698528971901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4570.4503854132599</v>
      </c>
      <c r="C18" s="21">
        <f>C5+C16</f>
        <v>0</v>
      </c>
      <c r="D18" s="21">
        <f>MAX((D5+D16),0)</f>
        <v>352.2298973457805</v>
      </c>
      <c r="E18" s="21">
        <f>MAX((E5+E16),0)</f>
        <v>715.29180108208755</v>
      </c>
      <c r="F18" s="21">
        <f>MAX((F5+F16),0)</f>
        <v>1997.7305760787324</v>
      </c>
      <c r="G18" s="21"/>
      <c r="H18" s="21"/>
      <c r="I18" s="21"/>
      <c r="J18" s="21">
        <f>MAX((J5+J16),0)</f>
        <v>6.2239576534796663</v>
      </c>
      <c r="K18" s="21"/>
      <c r="L18" s="21">
        <f>MAX((L5+L16),0)</f>
        <v>0</v>
      </c>
      <c r="M18" s="21"/>
      <c r="N18" s="21">
        <f>MAX((N5+N16),0)</f>
        <v>1175.9343246226351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0.19473189667699342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890.01247221961967</v>
      </c>
      <c r="C22" s="23">
        <f ca="1">C18*C20</f>
        <v>0</v>
      </c>
      <c r="D22" s="23">
        <f>D18*D20</f>
        <v>71.150439263847659</v>
      </c>
      <c r="E22" s="23">
        <f>E18*E20</f>
        <v>162.37123884563388</v>
      </c>
      <c r="F22" s="23">
        <f>F18*F20</f>
        <v>533.3940638130216</v>
      </c>
      <c r="G22" s="23"/>
      <c r="H22" s="23"/>
      <c r="I22" s="23"/>
      <c r="J22" s="23">
        <f>J18*J20</f>
        <v>2.2032810093318016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2142.1222757435598</v>
      </c>
      <c r="C31" s="39">
        <f>IF(ISERROR(B31*3.6/1000000/'E Balans VL '!Z19*100),0,B31*3.6/1000000/'E Balans VL '!Z19*100)</f>
        <v>9.3287716354525013E-2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2428.3281096696996</v>
      </c>
      <c r="C37" s="39">
        <f>IF(ISERROR(B37*3.6/1000000/'E Balans VL '!Z15*100),0,B37*3.6/1000000/'E Balans VL '!Z15*100)</f>
        <v>1.8713250686723068E-2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1351.6331716395844</v>
      </c>
      <c r="C5" s="17">
        <f>'Eigen informatie GS &amp; warmtenet'!B60</f>
        <v>0</v>
      </c>
      <c r="D5" s="30">
        <f>IF(ISERROR(SUM(LB_lb_gas_kWh,LB_rest_gas_kWh,onbekend_gas_kWh)/1000),0,SUM(LB_lb_gas_kWh,LB_rest_gas_kWh,onbekend_gas_kWh)/1000)*0.902</f>
        <v>204.55150485160465</v>
      </c>
      <c r="E5" s="17">
        <f>B17*'E Balans VL '!I25/3.6*1000000/100</f>
        <v>17.032319220217325</v>
      </c>
      <c r="F5" s="17">
        <f>B17*('E Balans VL '!L25/3.6*1000000+'E Balans VL '!N25/3.6*1000000)/100</f>
        <v>4663.4730464985014</v>
      </c>
      <c r="G5" s="18"/>
      <c r="H5" s="17"/>
      <c r="I5" s="17"/>
      <c r="J5" s="17">
        <f>('E Balans VL '!D25+'E Balans VL '!E25)/3.6*1000000*landbouw!B17/100</f>
        <v>203.27026419097339</v>
      </c>
      <c r="K5" s="17"/>
      <c r="L5" s="17">
        <f>L6*(-1)</f>
        <v>0</v>
      </c>
      <c r="M5" s="17"/>
      <c r="N5" s="17">
        <f>N6*(-1)</f>
        <v>124.71428571428569</v>
      </c>
      <c r="O5" s="17"/>
      <c r="P5" s="17"/>
      <c r="R5" s="32"/>
    </row>
    <row r="6" spans="1:18">
      <c r="A6" s="16" t="s">
        <v>497</v>
      </c>
      <c r="B6" s="17" t="s">
        <v>211</v>
      </c>
      <c r="C6" s="17">
        <f>'lokale energieproductie'!O91+'lokale energieproductie'!O60</f>
        <v>62.357142857142847</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1351.6331716395844</v>
      </c>
      <c r="C8" s="21">
        <f>C5+C6</f>
        <v>62.357142857142847</v>
      </c>
      <c r="D8" s="21">
        <f>MAX((D5+D6),0)</f>
        <v>204.55150485160465</v>
      </c>
      <c r="E8" s="21">
        <f>MAX((E5+E6),0)</f>
        <v>17.032319220217325</v>
      </c>
      <c r="F8" s="21">
        <f>MAX((F5+F6),0)</f>
        <v>4663.4730464985014</v>
      </c>
      <c r="G8" s="21"/>
      <c r="H8" s="21"/>
      <c r="I8" s="21"/>
      <c r="J8" s="21">
        <f>MAX((J5+J6),0)</f>
        <v>203.27026419097339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0.19473189667699342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263.20609112491644</v>
      </c>
      <c r="C12" s="23">
        <f ca="1">C8*C10</f>
        <v>0</v>
      </c>
      <c r="D12" s="23">
        <f>D8*D10</f>
        <v>41.319403980024141</v>
      </c>
      <c r="E12" s="23">
        <f>E8*E10</f>
        <v>3.8663364629893326</v>
      </c>
      <c r="F12" s="23">
        <f>F8*F10</f>
        <v>1245.1473034150999</v>
      </c>
      <c r="G12" s="23"/>
      <c r="H12" s="23"/>
      <c r="I12" s="23"/>
      <c r="J12" s="23">
        <f>J8*J10</f>
        <v>71.957673523604583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0.18851022643898266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347.56754476166378</v>
      </c>
      <c r="C26" s="249">
        <f>B26*'GWP N2O_CH4'!B5</f>
        <v>7298.918439994939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129.71248871006014</v>
      </c>
      <c r="C27" s="249">
        <f>B27*'GWP N2O_CH4'!B5</f>
        <v>2723.9622629112628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4.8161443308938008</v>
      </c>
      <c r="C28" s="249">
        <f>B28*'GWP N2O_CH4'!B4</f>
        <v>1493.0047425770783</v>
      </c>
      <c r="D28" s="50"/>
    </row>
    <row r="29" spans="1:4">
      <c r="A29" s="41" t="s">
        <v>277</v>
      </c>
      <c r="B29" s="249">
        <f>B34*'ha_N2O bodem landbouw'!B4</f>
        <v>17.13720769588701</v>
      </c>
      <c r="C29" s="249">
        <f>B29*'GWP N2O_CH4'!B4</f>
        <v>5312.5343857249736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4.2789895219043509E-3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7.4240596957524937E-6</v>
      </c>
      <c r="C5" s="448" t="s">
        <v>211</v>
      </c>
      <c r="D5" s="433">
        <f>SUM(D6:D11)</f>
        <v>1.5464654009988902E-5</v>
      </c>
      <c r="E5" s="433">
        <f>SUM(E6:E11)</f>
        <v>4.5771759177210415E-4</v>
      </c>
      <c r="F5" s="446" t="s">
        <v>211</v>
      </c>
      <c r="G5" s="433">
        <f>SUM(G6:G11)</f>
        <v>9.6840169271683874E-2</v>
      </c>
      <c r="H5" s="433">
        <f>SUM(H6:H11)</f>
        <v>2.2861689535887218E-2</v>
      </c>
      <c r="I5" s="448" t="s">
        <v>211</v>
      </c>
      <c r="J5" s="448" t="s">
        <v>211</v>
      </c>
      <c r="K5" s="448" t="s">
        <v>211</v>
      </c>
      <c r="L5" s="448" t="s">
        <v>211</v>
      </c>
      <c r="M5" s="433">
        <f>SUM(M6:M11)</f>
        <v>5.347344826576921E-3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2.950967452912951E-6</v>
      </c>
      <c r="C6" s="949"/>
      <c r="D6" s="949">
        <f>vkm_2011_GW_PW*SUMIFS(TableVerdeelsleutelVkm[CNG],TableVerdeelsleutelVkm[Voertuigtype],"Lichte voertuigen")*SUMIFS(TableECFTransport[EnergieConsumptieFactor (PJ per km)],TableECFTransport[Index],CONCATENATE($A6,"_CNG_CNG"))</f>
        <v>4.1791470653523897E-6</v>
      </c>
      <c r="E6" s="949">
        <f>vkm_2011_GW_PW*SUMIFS(TableVerdeelsleutelVkm[LPG],TableVerdeelsleutelVkm[Voertuigtype],"Lichte voertuigen")*SUMIFS(TableECFTransport[EnergieConsumptieFactor (PJ per km)],TableECFTransport[Index],CONCATENATE($A6,"_LPG_LPG"))</f>
        <v>1.3125325120736235E-4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2.3589803223637462E-2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6.3387947338601029E-3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1.3355466792414326E-3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8.412400366616132E-3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2.99721595929362E-6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3.7961662781616195E-4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4.4730922428395427E-6</v>
      </c>
      <c r="C8" s="949"/>
      <c r="D8" s="436">
        <f>vkm_2011_NGW_PW*SUMIFS(TableVerdeelsleutelVkm[CNG],TableVerdeelsleutelVkm[Voertuigtype],"Lichte voertuigen")*SUMIFS(TableECFTransport[EnergieConsumptieFactor (PJ per km)],TableECFTransport[Index],CONCATENATE($A8,"_CNG_CNG"))</f>
        <v>1.1285506944636513E-5</v>
      </c>
      <c r="E8" s="436">
        <f>vkm_2011_NGW_PW*SUMIFS(TableVerdeelsleutelVkm[LPG],TableVerdeelsleutelVkm[Voertuigtype],"Lichte voertuigen")*SUMIFS(TableECFTransport[EnergieConsumptieFactor (PJ per km)],TableECFTransport[Index],CONCATENATE($A8,"_LPG_LPG"))</f>
        <v>3.2646434056474177E-4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5.5338871449323188E-2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1.6516694969098619E-2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3.2035347014809736E-3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9.4990942321071022E-3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3.2026169692008998E-6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4.2864681803835247E-4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2.062238804375693</v>
      </c>
      <c r="C14" s="21"/>
      <c r="D14" s="21">
        <f t="shared" ref="D14:M14" si="0">((D5)*10^9/3600)+D12</f>
        <v>4.295737224996917</v>
      </c>
      <c r="E14" s="21">
        <f t="shared" si="0"/>
        <v>127.14377549225115</v>
      </c>
      <c r="F14" s="21"/>
      <c r="G14" s="21">
        <f t="shared" si="0"/>
        <v>26900.047019912188</v>
      </c>
      <c r="H14" s="21">
        <f t="shared" si="0"/>
        <v>6350.4693155242276</v>
      </c>
      <c r="I14" s="21"/>
      <c r="J14" s="21"/>
      <c r="K14" s="21"/>
      <c r="L14" s="21"/>
      <c r="M14" s="21">
        <f t="shared" si="0"/>
        <v>1485.3735629380337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0.19473189667699342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0.4015836737769739</v>
      </c>
      <c r="C18" s="23"/>
      <c r="D18" s="23">
        <f t="shared" ref="D18:M18" si="1">D14*D16</f>
        <v>0.86773891944937731</v>
      </c>
      <c r="E18" s="23">
        <f t="shared" si="1"/>
        <v>28.861637036741012</v>
      </c>
      <c r="F18" s="23"/>
      <c r="G18" s="23">
        <f t="shared" si="1"/>
        <v>7182.3125543165543</v>
      </c>
      <c r="H18" s="23">
        <f t="shared" si="1"/>
        <v>1581.2668595655327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1.863219098925947E-3</v>
      </c>
      <c r="H50" s="323">
        <f t="shared" si="2"/>
        <v>0</v>
      </c>
      <c r="I50" s="323">
        <f t="shared" si="2"/>
        <v>0</v>
      </c>
      <c r="J50" s="323">
        <f t="shared" si="2"/>
        <v>0</v>
      </c>
      <c r="K50" s="323">
        <f t="shared" si="2"/>
        <v>0</v>
      </c>
      <c r="L50" s="323">
        <f t="shared" si="2"/>
        <v>0</v>
      </c>
      <c r="M50" s="323">
        <f t="shared" si="2"/>
        <v>8.2861910607347452E-5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1.863219098925947E-3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8.2861910607347452E-5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517.56086081276305</v>
      </c>
      <c r="H54" s="21">
        <f t="shared" si="3"/>
        <v>0</v>
      </c>
      <c r="I54" s="21">
        <f t="shared" si="3"/>
        <v>0</v>
      </c>
      <c r="J54" s="21">
        <f t="shared" si="3"/>
        <v>0</v>
      </c>
      <c r="K54" s="21">
        <f t="shared" si="3"/>
        <v>0</v>
      </c>
      <c r="L54" s="21">
        <f t="shared" si="3"/>
        <v>0</v>
      </c>
      <c r="M54" s="21">
        <f t="shared" si="3"/>
        <v>23.017197390929848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0.19473189667699342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138.18874983700775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2972.3680102508906</v>
      </c>
      <c r="C6" s="1142"/>
      <c r="D6" s="1145"/>
      <c r="E6" s="1145"/>
      <c r="F6" s="1148"/>
      <c r="G6" s="1151"/>
      <c r="H6" s="1139"/>
      <c r="I6" s="1145"/>
      <c r="J6" s="1145"/>
      <c r="K6" s="1145"/>
      <c r="L6" s="1175"/>
      <c r="M6" s="561"/>
      <c r="N6" s="1187"/>
      <c r="O6" s="1188"/>
      <c r="Q6" s="559"/>
      <c r="R6" s="1172"/>
      <c r="S6" s="1172"/>
    </row>
    <row r="7" spans="1:19" s="549" customFormat="1">
      <c r="A7" s="562" t="s">
        <v>252</v>
      </c>
      <c r="B7" s="563">
        <f>N57</f>
        <v>43.649999999999991</v>
      </c>
      <c r="C7" s="564">
        <f>B100</f>
        <v>0</v>
      </c>
      <c r="D7" s="565"/>
      <c r="E7" s="565">
        <f>E100</f>
        <v>0</v>
      </c>
      <c r="F7" s="566"/>
      <c r="G7" s="567"/>
      <c r="H7" s="565">
        <f>I100</f>
        <v>0</v>
      </c>
      <c r="I7" s="565">
        <f>G100+F100</f>
        <v>0</v>
      </c>
      <c r="J7" s="565">
        <f>H100+D100+C100</f>
        <v>51.35294117647058</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3016.0180102508907</v>
      </c>
      <c r="C9" s="580">
        <f t="shared" ref="C9:L9" si="0">SUM(C7:C8)</f>
        <v>0</v>
      </c>
      <c r="D9" s="580">
        <f t="shared" si="0"/>
        <v>0</v>
      </c>
      <c r="E9" s="580">
        <f t="shared" si="0"/>
        <v>0</v>
      </c>
      <c r="F9" s="580">
        <f t="shared" si="0"/>
        <v>0</v>
      </c>
      <c r="G9" s="580">
        <f t="shared" si="0"/>
        <v>0</v>
      </c>
      <c r="H9" s="580">
        <f t="shared" si="0"/>
        <v>0</v>
      </c>
      <c r="I9" s="580">
        <f t="shared" si="0"/>
        <v>0</v>
      </c>
      <c r="J9" s="580">
        <f t="shared" si="0"/>
        <v>51.35294117647058</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62.357142857142847</v>
      </c>
      <c r="C16" s="596">
        <f>B101</f>
        <v>0</v>
      </c>
      <c r="D16" s="597"/>
      <c r="E16" s="597">
        <f>E101</f>
        <v>0</v>
      </c>
      <c r="F16" s="598"/>
      <c r="G16" s="599"/>
      <c r="H16" s="596">
        <f>I101</f>
        <v>0</v>
      </c>
      <c r="I16" s="597">
        <f>G101+F101</f>
        <v>0</v>
      </c>
      <c r="J16" s="597">
        <f>H101+D101+C101</f>
        <v>73.361344537815114</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62.357142857142847</v>
      </c>
      <c r="C19" s="579">
        <f>SUM(C16:C18)</f>
        <v>0</v>
      </c>
      <c r="D19" s="579">
        <f t="shared" ref="D19:M19" si="1">SUM(D16:D18)</f>
        <v>0</v>
      </c>
      <c r="E19" s="579">
        <f t="shared" si="1"/>
        <v>0</v>
      </c>
      <c r="F19" s="579">
        <f t="shared" si="1"/>
        <v>0</v>
      </c>
      <c r="G19" s="579">
        <f t="shared" si="1"/>
        <v>0</v>
      </c>
      <c r="H19" s="579">
        <f t="shared" si="1"/>
        <v>0</v>
      </c>
      <c r="I19" s="579">
        <f t="shared" si="1"/>
        <v>0</v>
      </c>
      <c r="J19" s="579">
        <f t="shared" si="1"/>
        <v>73.361344537815114</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45061</v>
      </c>
      <c r="C27" s="839">
        <v>9790</v>
      </c>
      <c r="D27" s="658" t="s">
        <v>840</v>
      </c>
      <c r="E27" s="657" t="s">
        <v>841</v>
      </c>
      <c r="F27" s="657" t="s">
        <v>842</v>
      </c>
      <c r="G27" s="657" t="s">
        <v>843</v>
      </c>
      <c r="H27" s="657" t="s">
        <v>844</v>
      </c>
      <c r="I27" s="657" t="s">
        <v>841</v>
      </c>
      <c r="J27" s="838">
        <v>41117</v>
      </c>
      <c r="K27" s="838">
        <v>41244</v>
      </c>
      <c r="L27" s="657" t="s">
        <v>845</v>
      </c>
      <c r="M27" s="657">
        <v>9.6999999999999993</v>
      </c>
      <c r="N27" s="657">
        <v>43.649999999999991</v>
      </c>
      <c r="O27" s="657">
        <v>62.357142857142847</v>
      </c>
      <c r="P27" s="657">
        <v>0</v>
      </c>
      <c r="Q27" s="657">
        <v>124.71428571428569</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9.6999999999999993</v>
      </c>
      <c r="N57" s="615">
        <f>SUM(N27:N56)</f>
        <v>43.649999999999991</v>
      </c>
      <c r="O57" s="615">
        <f t="shared" ref="O57:W57" si="2">SUM(O27:O56)</f>
        <v>62.357142857142847</v>
      </c>
      <c r="P57" s="615">
        <f t="shared" si="2"/>
        <v>0</v>
      </c>
      <c r="Q57" s="615">
        <f t="shared" si="2"/>
        <v>124.71428571428569</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9.6999999999999993</v>
      </c>
      <c r="N60" s="620">
        <f t="shared" ref="N60:W60" si="4">SUMIF($Z$27:$Z$56,"landbouw",N27:N56)</f>
        <v>43.649999999999991</v>
      </c>
      <c r="O60" s="620">
        <f t="shared" si="4"/>
        <v>62.357142857142847</v>
      </c>
      <c r="P60" s="620">
        <f t="shared" si="4"/>
        <v>0</v>
      </c>
      <c r="Q60" s="620">
        <f t="shared" si="4"/>
        <v>124.71428571428569</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51.35294117647058</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73.361344537815114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2018-06-27T09:32:22Z</dcterms:modified>
</cp:coreProperties>
</file>